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mari/Documents/Excel/オタライフ/あんスタ/Excel配布用/"/>
    </mc:Choice>
  </mc:AlternateContent>
  <xr:revisionPtr revIDLastSave="0" documentId="13_ncr:1_{C7E1D73E-BCEF-7C42-BD73-D42FDBC47355}" xr6:coauthVersionLast="36" xr6:coauthVersionMax="36" xr10:uidLastSave="{00000000-0000-0000-0000-000000000000}"/>
  <bookViews>
    <workbookView xWindow="1460" yWindow="820" windowWidth="27460" windowHeight="17160" xr2:uid="{EEE496C5-1D16-AF4E-9A21-1D6F6A8BBCEF}"/>
  </bookViews>
  <sheets>
    <sheet name="はじめにお読みください" sheetId="6" r:id="rId1"/>
    <sheet name="特効計算" sheetId="9" r:id="rId2"/>
    <sheet name="ツアーイベント" sheetId="1" r:id="rId3"/>
    <sheet name="イベント進捗" sheetId="10" r:id="rId4"/>
    <sheet name="【参考】特効倍率 " sheetId="7" r:id="rId5"/>
    <sheet name="特効計算用" sheetId="8" state="hidden" r:id="rId6"/>
    <sheet name="ツアイベ計算" sheetId="2" state="hidden" r:id="rId7"/>
  </sheets>
  <definedNames>
    <definedName name="_xlnm.Print_Area" localSheetId="3">イベント進捗!$B$1:$K$32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 i="10" l="1"/>
  <c r="J5" i="10"/>
  <c r="J7" i="10" s="1"/>
  <c r="I5" i="10"/>
  <c r="I7" i="10" s="1"/>
  <c r="H5" i="10"/>
  <c r="H7" i="10" s="1"/>
  <c r="G5" i="10"/>
  <c r="G7" i="10" s="1"/>
  <c r="F5" i="10"/>
  <c r="F7" i="10" s="1"/>
  <c r="E5" i="10"/>
  <c r="E7" i="10" s="1"/>
  <c r="D5" i="10"/>
  <c r="D7" i="10" s="1"/>
  <c r="C5" i="10"/>
  <c r="C7" i="10" s="1"/>
  <c r="K7" i="10"/>
  <c r="C4" i="10"/>
  <c r="D4" i="10" s="1"/>
  <c r="E4" i="10" s="1"/>
  <c r="F4" i="10" s="1"/>
  <c r="G4" i="10" s="1"/>
  <c r="H4" i="10" s="1"/>
  <c r="I4" i="10" s="1"/>
  <c r="J4" i="10" s="1"/>
  <c r="K4" i="10" s="1"/>
  <c r="D37" i="9" l="1"/>
  <c r="G37" i="9" s="1"/>
  <c r="D36" i="9"/>
  <c r="G36" i="9" s="1"/>
  <c r="D35" i="9"/>
  <c r="G35" i="9" s="1"/>
  <c r="D34" i="9"/>
  <c r="G34" i="9" s="1"/>
  <c r="D33" i="9"/>
  <c r="G33" i="9" s="1"/>
  <c r="G27" i="9"/>
  <c r="G26" i="9"/>
  <c r="G25" i="9"/>
  <c r="D29" i="9"/>
  <c r="G29" i="9" s="1"/>
  <c r="D28" i="9"/>
  <c r="G28" i="9" s="1"/>
  <c r="D27" i="9"/>
  <c r="D26" i="9"/>
  <c r="F26" i="9" s="1"/>
  <c r="D25" i="9"/>
  <c r="D15" i="9"/>
  <c r="G15" i="9" s="1"/>
  <c r="D14" i="9"/>
  <c r="G14" i="9" s="1"/>
  <c r="D13" i="9"/>
  <c r="G13" i="9" s="1"/>
  <c r="D12" i="9"/>
  <c r="G12" i="9" s="1"/>
  <c r="D11" i="9"/>
  <c r="G11" i="9" s="1"/>
  <c r="D7" i="9"/>
  <c r="G7" i="9" s="1"/>
  <c r="D6" i="9"/>
  <c r="G6" i="9" s="1"/>
  <c r="D5" i="9"/>
  <c r="G5" i="9" s="1"/>
  <c r="D4" i="9"/>
  <c r="F4" i="9" s="1"/>
  <c r="D3" i="9"/>
  <c r="G3" i="9" s="1"/>
  <c r="H7" i="8"/>
  <c r="H6" i="8"/>
  <c r="H5" i="8"/>
  <c r="H4" i="8"/>
  <c r="F33" i="9" l="1"/>
  <c r="G4" i="9"/>
  <c r="G8" i="9" s="1"/>
  <c r="F27" i="9"/>
  <c r="F15" i="9"/>
  <c r="F12" i="9"/>
  <c r="F6" i="9"/>
  <c r="G16" i="9"/>
  <c r="G38" i="9"/>
  <c r="G30" i="9"/>
  <c r="E40" i="9"/>
  <c r="F36" i="9"/>
  <c r="F37" i="9"/>
  <c r="F28" i="9"/>
  <c r="F34" i="9"/>
  <c r="F14" i="9"/>
  <c r="F25" i="9"/>
  <c r="F7" i="9"/>
  <c r="F13" i="9"/>
  <c r="F29" i="9"/>
  <c r="F35" i="9"/>
  <c r="F3" i="9"/>
  <c r="F5" i="9"/>
  <c r="F11" i="9"/>
  <c r="E42" i="9" l="1"/>
  <c r="D16" i="1"/>
  <c r="E41" i="9"/>
  <c r="D15" i="1" s="1"/>
  <c r="E19" i="9"/>
  <c r="D11" i="1" s="1"/>
  <c r="E18" i="9"/>
  <c r="E20" i="9" l="1"/>
  <c r="D12" i="1"/>
  <c r="D43" i="1"/>
  <c r="D18" i="2" l="1"/>
  <c r="D13" i="2"/>
  <c r="D12" i="2"/>
  <c r="D8" i="2"/>
  <c r="D7" i="2"/>
  <c r="G16" i="2" l="1"/>
  <c r="G10" i="2"/>
  <c r="C9" i="2" l="1"/>
  <c r="D14" i="2" l="1"/>
  <c r="D15" i="2" s="1"/>
  <c r="D9" i="2"/>
  <c r="D10" i="2" s="1"/>
  <c r="C14" i="2"/>
  <c r="G19" i="2" l="1"/>
  <c r="D26" i="1" s="1"/>
  <c r="D16" i="2"/>
  <c r="D19" i="2" s="1"/>
  <c r="D21" i="1" s="1"/>
  <c r="D25" i="1" l="1"/>
  <c r="D39" i="1" s="1"/>
  <c r="D41" i="1"/>
  <c r="D23" i="1"/>
  <c r="D3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D10" authorId="0" shapeId="0" xr:uid="{7E61E7C2-4C01-C040-B8A0-F67FAE8C55B5}">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 ref="D14" authorId="0" shapeId="0" xr:uid="{F0934232-B773-6B48-9317-7DBD45DFDF8D}">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List>
</comments>
</file>

<file path=xl/sharedStrings.xml><?xml version="1.0" encoding="utf-8"?>
<sst xmlns="http://schemas.openxmlformats.org/spreadsheetml/2006/main" count="246" uniqueCount="146">
  <si>
    <t>%</t>
    <phoneticPr fontId="1"/>
  </si>
  <si>
    <t>スコアボーナス</t>
    <phoneticPr fontId="1"/>
  </si>
  <si>
    <t>万</t>
    <rPh sb="0" eb="1">
      <t>マｎ</t>
    </rPh>
    <phoneticPr fontId="1"/>
  </si>
  <si>
    <t>目標ポイント</t>
    <rPh sb="0" eb="2">
      <t>モクヒョウ</t>
    </rPh>
    <phoneticPr fontId="1"/>
  </si>
  <si>
    <t>万ポイント</t>
    <rPh sb="0" eb="1">
      <t>マｎ</t>
    </rPh>
    <phoneticPr fontId="1"/>
  </si>
  <si>
    <t>個</t>
    <rPh sb="0" eb="1">
      <t>コ</t>
    </rPh>
    <phoneticPr fontId="1"/>
  </si>
  <si>
    <t>使用BP</t>
    <rPh sb="0" eb="2">
      <t>シヨウ</t>
    </rPh>
    <phoneticPr fontId="1"/>
  </si>
  <si>
    <t>用意すべきダイヤ数</t>
    <phoneticPr fontId="1"/>
  </si>
  <si>
    <t>BP</t>
    <phoneticPr fontId="1"/>
  </si>
  <si>
    <t>1枚</t>
  </si>
  <si>
    <t>5枚</t>
  </si>
  <si>
    <t>獲得予定ホイッスル</t>
    <phoneticPr fontId="1"/>
  </si>
  <si>
    <t>獲得予定ダイヤ</t>
    <rPh sb="0" eb="1">
      <t>カクトクヨテイ</t>
    </rPh>
    <phoneticPr fontId="1"/>
  </si>
  <si>
    <t>現在所有ダイヤ</t>
    <rPh sb="0" eb="1">
      <t>ゲンザイショユウダイヤ</t>
    </rPh>
    <phoneticPr fontId="1"/>
  </si>
  <si>
    <t>あと</t>
    <phoneticPr fontId="1"/>
  </si>
  <si>
    <t>枚数</t>
  </si>
  <si>
    <t>★3</t>
  </si>
  <si>
    <t>★4</t>
  </si>
  <si>
    <t>★5</t>
  </si>
  <si>
    <t>2枚</t>
  </si>
  <si>
    <t>3枚</t>
  </si>
  <si>
    <t>4枚</t>
  </si>
  <si>
    <t>カード枚数</t>
  </si>
  <si>
    <t>時間</t>
    <rPh sb="0" eb="2">
      <t>ジカｎ</t>
    </rPh>
    <phoneticPr fontId="1"/>
  </si>
  <si>
    <t>【おまけ】</t>
    <phoneticPr fontId="1"/>
  </si>
  <si>
    <t>ガチャの撤退ライン</t>
    <phoneticPr fontId="1"/>
  </si>
  <si>
    <t>★5</t>
    <phoneticPr fontId="1"/>
  </si>
  <si>
    <t>★4</t>
    <phoneticPr fontId="1"/>
  </si>
  <si>
    <t>★3</t>
    <phoneticPr fontId="1"/>
  </si>
  <si>
    <t>合計</t>
    <rPh sb="0" eb="2">
      <t>ゴウケイ</t>
    </rPh>
    <phoneticPr fontId="1"/>
  </si>
  <si>
    <t>反映倍率</t>
    <phoneticPr fontId="1"/>
  </si>
  <si>
    <t>セルの文字が「####」になるときはセルの幅を広げてください</t>
    <rPh sb="0" eb="30">
      <t>ヒロゲテクダサイ</t>
    </rPh>
    <phoneticPr fontId="1"/>
  </si>
  <si>
    <t>一日に使える自然回復BP</t>
    <rPh sb="0" eb="4">
      <t>シゼンカイフク</t>
    </rPh>
    <phoneticPr fontId="1"/>
  </si>
  <si>
    <r>
      <rPr>
        <b/>
        <sz val="12"/>
        <color theme="1"/>
        <rFont val="Meiryo"/>
        <family val="2"/>
        <charset val="128"/>
      </rPr>
      <t>・目標ポイント</t>
    </r>
    <r>
      <rPr>
        <sz val="12"/>
        <color theme="1"/>
        <rFont val="Meiryo"/>
        <family val="2"/>
        <charset val="128"/>
      </rPr>
      <t xml:space="preserve">
自分の目標ポイントを入力します。
参考）★5一枚：350万pt、★4完凸・★5三枚：1100万pt、★5四枚：1500万pt、★5完凸：2200万pt</t>
    </r>
    <rPh sb="0" eb="1">
      <t>・</t>
    </rPh>
    <rPh sb="7" eb="8">
      <t>・</t>
    </rPh>
    <phoneticPr fontId="1"/>
  </si>
  <si>
    <t>【使い方】</t>
    <phoneticPr fontId="1"/>
  </si>
  <si>
    <r>
      <rPr>
        <b/>
        <sz val="12"/>
        <color theme="1"/>
        <rFont val="Meiryo"/>
        <family val="2"/>
        <charset val="128"/>
      </rPr>
      <t>・一日に使える自然回復BP/獲得予定ホイッスル/獲得予定ダイヤ/現在所有ダイヤ</t>
    </r>
    <r>
      <rPr>
        <sz val="12"/>
        <color theme="1"/>
        <rFont val="Meiryo"/>
        <family val="2"/>
        <charset val="128"/>
      </rPr>
      <t xml:space="preserve">
入力は任意ですが、入力すると「あと何個ダイヤを用意するべきか」がわかります。</t>
    </r>
    <rPh sb="0" eb="1">
      <t>イチニチニ</t>
    </rPh>
    <phoneticPr fontId="1"/>
  </si>
  <si>
    <t>pt</t>
    <phoneticPr fontId="1"/>
  </si>
  <si>
    <t>ファン人数</t>
    <phoneticPr fontId="1"/>
  </si>
  <si>
    <t>人</t>
    <rPh sb="0" eb="1">
      <t>ニｎ</t>
    </rPh>
    <phoneticPr fontId="1"/>
  </si>
  <si>
    <t>獲得ファン人数（１人あたり）</t>
    <phoneticPr fontId="1"/>
  </si>
  <si>
    <t>連までに特効が引けると得</t>
    <rPh sb="0" eb="1">
      <t>レｎ</t>
    </rPh>
    <phoneticPr fontId="1"/>
  </si>
  <si>
    <t>なにか不具合等ございましたら</t>
    <rPh sb="0" eb="3">
      <t>フグアイ</t>
    </rPh>
    <phoneticPr fontId="1"/>
  </si>
  <si>
    <t>X（旧Twitter）</t>
    <rPh sb="0" eb="1">
      <t>キュウ</t>
    </rPh>
    <phoneticPr fontId="1"/>
  </si>
  <si>
    <t>お問合せフォーム</t>
    <phoneticPr fontId="1"/>
  </si>
  <si>
    <t>等からご連絡いただけますと幸いです。</t>
    <rPh sb="0" eb="1">
      <t>サイワイデス</t>
    </rPh>
    <phoneticPr fontId="1"/>
  </si>
  <si>
    <t>著作権は放棄しておりません。</t>
    <rPh sb="0" eb="2">
      <t>ホウキシテオリマセｎ</t>
    </rPh>
    <phoneticPr fontId="1"/>
  </si>
  <si>
    <t>再配布・改変後の再配布・自作発言等は禁止です。</t>
    <rPh sb="0" eb="3">
      <t>・カイヘｎ</t>
    </rPh>
    <phoneticPr fontId="1"/>
  </si>
  <si>
    <t>実際の結果と異なる場合でも責任は負いかねます。</t>
    <rPh sb="0" eb="2">
      <t>。</t>
    </rPh>
    <phoneticPr fontId="1"/>
  </si>
  <si>
    <t>ご了承の上ご利用ください。</t>
    <rPh sb="0" eb="2">
      <t>。</t>
    </rPh>
    <phoneticPr fontId="1"/>
  </si>
  <si>
    <t>【はじめに】</t>
    <phoneticPr fontId="1"/>
  </si>
  <si>
    <t>このツールがお役に立てた際にはSNS等でシェアしていただけると嬉しいです。</t>
    <rPh sb="0" eb="1">
      <t>タテタトウ</t>
    </rPh>
    <phoneticPr fontId="1"/>
  </si>
  <si>
    <t>シェアしていただける場合は、下記配布ページのURLを共有していただけますと幸いです。</t>
    <rPh sb="0" eb="2">
      <t>カキ</t>
    </rPh>
    <phoneticPr fontId="1"/>
  </si>
  <si>
    <t>←このセルに入力した数字は優先反映されます</t>
    <rPh sb="0" eb="2">
      <t>スウジ</t>
    </rPh>
    <phoneticPr fontId="1"/>
  </si>
  <si>
    <t>https://x.com/lop_0125</t>
    <phoneticPr fontId="1"/>
  </si>
  <si>
    <t>https://ota-life.com/contact/</t>
    <phoneticPr fontId="1"/>
  </si>
  <si>
    <t>黄色・赤色のセルに入力すると、青色セルに結果が表示されます。</t>
    <rPh sb="0" eb="2">
      <t>ニ</t>
    </rPh>
    <phoneticPr fontId="1"/>
  </si>
  <si>
    <t>使い方もこちらのページからご覧いただけます。</t>
    <rPh sb="0" eb="1">
      <t>。</t>
    </rPh>
    <phoneticPr fontId="1"/>
  </si>
  <si>
    <t>計算結果はあくまでも目安になります。</t>
    <rPh sb="0" eb="18">
      <t>。メヤス</t>
    </rPh>
    <phoneticPr fontId="1"/>
  </si>
  <si>
    <t>トータル使用BP</t>
    <rPh sb="0" eb="8">
      <t>シヨウ</t>
    </rPh>
    <phoneticPr fontId="1"/>
  </si>
  <si>
    <t>１〜３曲目</t>
    <rPh sb="0" eb="2">
      <t>キョクメ</t>
    </rPh>
    <phoneticPr fontId="1"/>
  </si>
  <si>
    <t>４曲目</t>
    <phoneticPr fontId="1"/>
  </si>
  <si>
    <t>楽曲スコア</t>
    <phoneticPr fontId="1"/>
  </si>
  <si>
    <t>1〜3曲目</t>
    <phoneticPr fontId="1"/>
  </si>
  <si>
    <t>4曲目</t>
    <phoneticPr fontId="1"/>
  </si>
  <si>
    <t>1〜3曲目特効倍率</t>
    <rPh sb="0" eb="4">
      <t>トッコウバイリツ</t>
    </rPh>
    <phoneticPr fontId="1"/>
  </si>
  <si>
    <t>4曲目特効倍率</t>
    <phoneticPr fontId="1"/>
  </si>
  <si>
    <t>必要公演数</t>
    <rPh sb="0" eb="2">
      <t>ヒツヨウ</t>
    </rPh>
    <phoneticPr fontId="1"/>
  </si>
  <si>
    <t>プレイ時間</t>
    <phoneticPr fontId="1"/>
  </si>
  <si>
    <t>（特効なしの場合）</t>
    <rPh sb="0" eb="1">
      <t>トッコウナシ</t>
    </rPh>
    <phoneticPr fontId="1"/>
  </si>
  <si>
    <t>1~3曲目</t>
    <rPh sb="0" eb="2">
      <t>キョクメ</t>
    </rPh>
    <phoneticPr fontId="1"/>
  </si>
  <si>
    <t>基本イベントポイント</t>
    <phoneticPr fontId="1"/>
  </si>
  <si>
    <t>基本イベントポイント</t>
    <rPh sb="0" eb="2">
      <t>キホｎ</t>
    </rPh>
    <phoneticPr fontId="1"/>
  </si>
  <si>
    <t>FEVERボーナス</t>
    <phoneticPr fontId="1"/>
  </si>
  <si>
    <t>特効ポイント</t>
    <phoneticPr fontId="1"/>
  </si>
  <si>
    <t>合計ポイント</t>
    <phoneticPr fontId="1"/>
  </si>
  <si>
    <t>特効ポイント</t>
    <rPh sb="0" eb="1">
      <t>トッコウコミポイント</t>
    </rPh>
    <phoneticPr fontId="1"/>
  </si>
  <si>
    <t>FEVER値</t>
    <rPh sb="0" eb="1">
      <t>チ</t>
    </rPh>
    <phoneticPr fontId="1"/>
  </si>
  <si>
    <t>合計ポイント</t>
    <rPh sb="0" eb="2">
      <t>ゴウケイ</t>
    </rPh>
    <phoneticPr fontId="1"/>
  </si>
  <si>
    <t>１公演計</t>
    <rPh sb="0" eb="1">
      <t>ケイ</t>
    </rPh>
    <phoneticPr fontId="1"/>
  </si>
  <si>
    <t>獲得ポイント</t>
    <phoneticPr fontId="1"/>
  </si>
  <si>
    <t>特効なし</t>
    <rPh sb="0" eb="2">
      <t>トッコウ</t>
    </rPh>
    <phoneticPr fontId="1"/>
  </si>
  <si>
    <t>特効なし</t>
    <phoneticPr fontId="1"/>
  </si>
  <si>
    <t>セット</t>
    <phoneticPr fontId="1"/>
  </si>
  <si>
    <r>
      <rPr>
        <b/>
        <sz val="12"/>
        <color theme="1"/>
        <rFont val="Meiryo"/>
        <family val="2"/>
        <charset val="128"/>
      </rPr>
      <t>・FEVER値</t>
    </r>
    <r>
      <rPr>
        <sz val="12"/>
        <color theme="1"/>
        <rFont val="Meiryo"/>
        <family val="2"/>
        <charset val="128"/>
      </rPr>
      <t xml:space="preserve">
4曲目のFEVER値を入力します。変更は任意です。（初期値100%）
参考）3曲フルコン105%、3曲パフェコン110%</t>
    </r>
    <rPh sb="0" eb="1">
      <t>ガッキョク</t>
    </rPh>
    <phoneticPr fontId="1"/>
  </si>
  <si>
    <t>参考：https://ota-life.com/music_tour/#goal</t>
    <rPh sb="0" eb="2">
      <t>：</t>
    </rPh>
    <phoneticPr fontId="1"/>
  </si>
  <si>
    <r>
      <rPr>
        <b/>
        <sz val="12"/>
        <color theme="1"/>
        <rFont val="Meiryo"/>
        <family val="2"/>
        <charset val="128"/>
      </rPr>
      <t>・使用BP</t>
    </r>
    <r>
      <rPr>
        <sz val="12"/>
        <color theme="1"/>
        <rFont val="Meiryo"/>
        <family val="2"/>
        <charset val="128"/>
      </rPr>
      <t xml:space="preserve">
セットリストの1〜3曲目、4曲目で使用するBPをそれぞれ選択します。
目標ポイント別のおすすめ使用BPは下記記事を参考にしてください。
ここまで入力すると、目標達成までに必要な公演数がわかります。</t>
    </r>
    <rPh sb="0" eb="1">
      <t>シヨウ</t>
    </rPh>
    <phoneticPr fontId="1"/>
  </si>
  <si>
    <t>https://ota-life.com/music-tour-excel/</t>
    <phoneticPr fontId="1"/>
  </si>
  <si>
    <r>
      <rPr>
        <b/>
        <sz val="12"/>
        <color theme="1"/>
        <rFont val="Meiryo"/>
        <family val="2"/>
        <charset val="128"/>
      </rPr>
      <t>・楽曲スコア</t>
    </r>
    <r>
      <rPr>
        <sz val="12"/>
        <color theme="1"/>
        <rFont val="Meiryo"/>
        <family val="2"/>
        <charset val="128"/>
      </rPr>
      <t xml:space="preserve">
セットリストのライブで取れるスコアの予想値1〜3曲目、4曲目をそれぞれ入力します。
絶対出せるスコアの入力がおすすめです。</t>
    </r>
    <rPh sb="0" eb="1">
      <t>ガッキョク</t>
    </rPh>
    <phoneticPr fontId="1"/>
  </si>
  <si>
    <t>1日あたりの目標ポイント数</t>
    <rPh sb="0" eb="2">
      <t>モクヒョウ</t>
    </rPh>
    <phoneticPr fontId="1"/>
  </si>
  <si>
    <t>万pt</t>
    <rPh sb="0" eb="1">
      <t>マｎ</t>
    </rPh>
    <phoneticPr fontId="1"/>
  </si>
  <si>
    <t>基本スカウト</t>
    <phoneticPr fontId="1"/>
  </si>
  <si>
    <t>星5カード1種、星4カード1種、星3カード1種以上のスカウトの場合</t>
    <rPh sb="0" eb="1">
      <t>ホシ５</t>
    </rPh>
    <phoneticPr fontId="1"/>
  </si>
  <si>
    <t>シャッフルスカウト</t>
    <phoneticPr fontId="1"/>
  </si>
  <si>
    <t>星5カード1種、星4カード1種、星3カードなしのスカウトの場合</t>
    <rPh sb="0" eb="1">
      <t>ホシ５</t>
    </rPh>
    <phoneticPr fontId="1"/>
  </si>
  <si>
    <t>星4二種（スカウトポートレイトなど）</t>
    <rPh sb="0" eb="2">
      <t>２シュ</t>
    </rPh>
    <phoneticPr fontId="1"/>
  </si>
  <si>
    <t>星5カード1種、★4カード1種、★3カード1種のスカウトの場合</t>
    <rPh sb="0" eb="1">
      <t>ホシ５</t>
    </rPh>
    <phoneticPr fontId="1"/>
  </si>
  <si>
    <t>星5二種（スカウト風変わりな終止たちなど）</t>
    <rPh sb="0" eb="2">
      <t>ニシュ</t>
    </rPh>
    <phoneticPr fontId="1"/>
  </si>
  <si>
    <t>星5カード2種、★4カード2種、★3カードなしのスカウトの場合</t>
    <rPh sb="0" eb="1">
      <t>ホシ５</t>
    </rPh>
    <phoneticPr fontId="1"/>
  </si>
  <si>
    <t>★4カード二種</t>
    <rPh sb="0" eb="2">
      <t>ニシュ</t>
    </rPh>
    <phoneticPr fontId="1"/>
  </si>
  <si>
    <t>★5カード二種</t>
    <rPh sb="0" eb="2">
      <t>ニシュ</t>
    </rPh>
    <phoneticPr fontId="1"/>
  </si>
  <si>
    <t>★4カード二種</t>
    <rPh sb="0" eb="1">
      <t>ニシュ</t>
    </rPh>
    <phoneticPr fontId="1"/>
  </si>
  <si>
    <t>★5カード二種</t>
    <rPh sb="0" eb="1">
      <t>ニシュ</t>
    </rPh>
    <phoneticPr fontId="1"/>
  </si>
  <si>
    <t>スカウトの種類</t>
    <phoneticPr fontId="1"/>
  </si>
  <si>
    <t>黄色セルを入力してください。</t>
    <rPh sb="0" eb="2">
      <t>キイロ</t>
    </rPh>
    <phoneticPr fontId="1"/>
  </si>
  <si>
    <t>カード枚数</t>
    <phoneticPr fontId="1"/>
  </si>
  <si>
    <t>スカウトの種類、特効倍率は「【参考】特効倍率」シートを御覧ください。</t>
    <phoneticPr fontId="1"/>
  </si>
  <si>
    <t>ライブに編成できるカードは最大7枚です。</t>
    <rPh sb="0" eb="2">
      <t>ヘンセイデキルカードハ</t>
    </rPh>
    <phoneticPr fontId="1"/>
  </si>
  <si>
    <t>【スカウトの種類】</t>
    <phoneticPr fontId="1"/>
  </si>
  <si>
    <t>・基本スカウト</t>
    <rPh sb="0" eb="1">
      <t>キホｎ</t>
    </rPh>
    <phoneticPr fontId="1"/>
  </si>
  <si>
    <t>→★5一種、★4一種、★3一種以上</t>
    <rPh sb="0" eb="1">
      <t>ホシ</t>
    </rPh>
    <phoneticPr fontId="1"/>
  </si>
  <si>
    <t>・シャッフルスカウト</t>
    <rPh sb="0" eb="1">
      <t>・</t>
    </rPh>
    <phoneticPr fontId="1"/>
  </si>
  <si>
    <t>→★5一種、★4一種、★3なし</t>
    <phoneticPr fontId="1"/>
  </si>
  <si>
    <t>・★4カード二種</t>
    <rPh sb="0" eb="2">
      <t>ニシュ</t>
    </rPh>
    <phoneticPr fontId="1"/>
  </si>
  <si>
    <t>→★5一種、★4二種、★3一種</t>
    <rPh sb="0" eb="2">
      <t>★5</t>
    </rPh>
    <phoneticPr fontId="1"/>
  </si>
  <si>
    <t>・★5カード二種</t>
    <rPh sb="0" eb="2">
      <t>ニシュ</t>
    </rPh>
    <phoneticPr fontId="1"/>
  </si>
  <si>
    <t>→★5二種、★4二種、★3なし</t>
    <rPh sb="0" eb="2">
      <t>ニシュ</t>
    </rPh>
    <phoneticPr fontId="1"/>
  </si>
  <si>
    <t>合計編成枚数</t>
    <rPh sb="0" eb="2">
      <t>ゴウケイ</t>
    </rPh>
    <phoneticPr fontId="1"/>
  </si>
  <si>
    <t>枚</t>
    <rPh sb="0" eb="1">
      <t>マイ</t>
    </rPh>
    <phoneticPr fontId="1"/>
  </si>
  <si>
    <t>名称にとらわれず、スカウトから排出されるカードの枚数を基準にスカウトの種類を選択してください。</t>
    <rPh sb="0" eb="2">
      <t>メイショウ</t>
    </rPh>
    <phoneticPr fontId="1"/>
  </si>
  <si>
    <t>通常ライブ特効倍率</t>
    <phoneticPr fontId="1"/>
  </si>
  <si>
    <t>シャッフルイベント連動スカウトは今後のイベント内容によってはスカウトで排出される</t>
    <rPh sb="0" eb="2">
      <t>レンドウ</t>
    </rPh>
    <phoneticPr fontId="1"/>
  </si>
  <si>
    <t>カードの枚数が変更になる可能性があります。</t>
    <rPh sb="0" eb="2">
      <t>ヘンコウ</t>
    </rPh>
    <phoneticPr fontId="1"/>
  </si>
  <si>
    <t>今までに実装された特効スカウトの倍率には対応しています。</t>
    <rPh sb="0" eb="2">
      <t>トッコウスカウト</t>
    </rPh>
    <phoneticPr fontId="1"/>
  </si>
  <si>
    <t>今後新たな倍率が実装された場合には順次対応予定です。</t>
    <rPh sb="0" eb="1">
      <t>アラタナバイリツ</t>
    </rPh>
    <phoneticPr fontId="1"/>
  </si>
  <si>
    <t>イベント楽曲特効倍率</t>
    <phoneticPr fontId="1"/>
  </si>
  <si>
    <t>基本スカウト</t>
  </si>
  <si>
    <t>【1〜3曲目】</t>
    <rPh sb="0" eb="2">
      <t>キョクメ</t>
    </rPh>
    <phoneticPr fontId="1"/>
  </si>
  <si>
    <t>【4曲目】</t>
    <phoneticPr fontId="1"/>
  </si>
  <si>
    <t>イベント開始日</t>
    <phoneticPr fontId="1"/>
  </si>
  <si>
    <t>mm/dd形式で入力してください</t>
    <rPh sb="0" eb="2">
      <t>ケイシキデニュウリョクシテクダサイ</t>
    </rPh>
    <phoneticPr fontId="1"/>
  </si>
  <si>
    <t>単位：万pt</t>
    <rPh sb="0" eb="2">
      <t>タンイ</t>
    </rPh>
    <phoneticPr fontId="1"/>
  </si>
  <si>
    <t>日別目標</t>
    <phoneticPr fontId="1"/>
  </si>
  <si>
    <t>実績</t>
    <rPh sb="0" eb="2">
      <t>ジッセキ</t>
    </rPh>
    <phoneticPr fontId="1"/>
  </si>
  <si>
    <t>目標まで</t>
    <phoneticPr fontId="1"/>
  </si>
  <si>
    <t>【「特効計算」シート】</t>
    <rPh sb="0" eb="1">
      <t>トッコウケイサｎ</t>
    </rPh>
    <phoneticPr fontId="1"/>
  </si>
  <si>
    <t>通常ライブ・イベント楽曲それぞれ、スカウトの種類とカード枚数を選択します。</t>
    <rPh sb="0" eb="2">
      <t>・</t>
    </rPh>
    <phoneticPr fontId="1"/>
  </si>
  <si>
    <t>特効ボーナス対象スカウトが2つある場合、スカウトの種類ごとに入力します。</t>
    <rPh sb="0" eb="36">
      <t>ニュウリョクシマス</t>
    </rPh>
    <phoneticPr fontId="1"/>
  </si>
  <si>
    <t>特効なしの場合は入力不要です。</t>
    <rPh sb="0" eb="2">
      <t>ハ</t>
    </rPh>
    <phoneticPr fontId="1"/>
  </si>
  <si>
    <t>通常ライブ・イベント楽曲それぞれ、カードが合計7枚以内になるように調整してください。</t>
    <rPh sb="0" eb="1">
      <t>ツウジョウライブ</t>
    </rPh>
    <phoneticPr fontId="1"/>
  </si>
  <si>
    <t>イベント開始時から目標達成まで、どれくらいダイヤ数や時間が必要か計算できます。</t>
    <rPh sb="0" eb="2">
      <t>モクヒョウ</t>
    </rPh>
    <phoneticPr fontId="1"/>
  </si>
  <si>
    <t>【「イベント進捗」シート】</t>
    <rPh sb="0" eb="2">
      <t>シンチョクトチュウケイカヨウ</t>
    </rPh>
    <phoneticPr fontId="1"/>
  </si>
  <si>
    <t>イベント進捗状況をグラフで確認できます。</t>
    <rPh sb="0" eb="2">
      <t>カクニンデキマス</t>
    </rPh>
    <phoneticPr fontId="1"/>
  </si>
  <si>
    <t>イベント開始日、日別の実績を入力してください。</t>
    <rPh sb="0" eb="4">
      <t>イベントカイシビ</t>
    </rPh>
    <phoneticPr fontId="1"/>
  </si>
  <si>
    <t>【「ツアーイベント」シート】</t>
    <rPh sb="0" eb="1">
      <t>トッコウケイサｎ</t>
    </rPh>
    <phoneticPr fontId="1"/>
  </si>
  <si>
    <r>
      <rPr>
        <b/>
        <sz val="12"/>
        <color theme="1"/>
        <rFont val="Meiryo"/>
        <family val="2"/>
        <charset val="128"/>
      </rPr>
      <t>・1〜3曲目特効倍率</t>
    </r>
    <r>
      <rPr>
        <sz val="12"/>
        <color theme="1"/>
        <rFont val="Meiryo"/>
        <family val="2"/>
        <charset val="128"/>
      </rPr>
      <t xml:space="preserve">
「特効計算」シートに入力済みなら自動入力されます。
「D10」セルは倍率の直接入力が可能。
D10セルに入力されているとその倍率を優先します。
イレギュラーな特効ボーナスが実装された場合は、直接入力を使用してください。</t>
    </r>
    <rPh sb="0" eb="1">
      <t>ツウジョウライブ</t>
    </rPh>
    <phoneticPr fontId="1"/>
  </si>
  <si>
    <r>
      <rPr>
        <b/>
        <sz val="12"/>
        <color theme="1"/>
        <rFont val="Meiryo"/>
        <family val="2"/>
        <charset val="128"/>
      </rPr>
      <t>・4曲目特効倍率</t>
    </r>
    <r>
      <rPr>
        <sz val="12"/>
        <color theme="1"/>
        <rFont val="Meiryo"/>
        <family val="2"/>
        <charset val="128"/>
      </rPr>
      <t xml:space="preserve">
「特効計算」シートに入力済みなら自動入力されます。
「D14」セルは倍率の直接入力が可能。
D14セルに入力されているとその倍率を優先します。
イレギュラーな特効ボーナスが実装された場合は、直接入力を使用してください。</t>
    </r>
    <rPh sb="0" eb="1">
      <t>ツウジョウライブ</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</si>
</sst>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h]&quot;時間&quot;mm&quot;分&quot;"/>
    <numFmt numFmtId="177" formatCode="#,##0_);[Red]\(#,##0\)"/>
    <numFmt numFmtId="178" formatCode="#,##0.00_ "/>
    <numFmt numFmtId="179" formatCode="#,##0_ "/>
    <numFmt numFmtId="180" formatCode="0.00_);[Red]\(0.00\)"/>
    <numFmt numFmtId="181" formatCode="0_);[Red]\(0\)"/>
    <numFmt numFmtId="182" formatCode="0_ "/>
    <numFmt numFmtId="183" formatCode="#,##0_ ;[Red]\-#,##0\ "/>
  </numFmts>
  <fonts count="11">
    <font>
      <sz val="12"/>
      <color theme="1"/>
      <name val="Meiryo"/>
      <family val="2"/>
      <charset val="128"/>
    </font>
    <font>
      <sz val="6"/>
      <name val="Meiryo"/>
      <family val="2"/>
      <charset val="128"/>
    </font>
    <font>
      <b/>
      <sz val="12"/>
      <color theme="1"/>
      <name val="Meiryo"/>
      <family val="2"/>
      <charset val="128"/>
    </font>
    <font>
      <sz val="12"/>
      <color theme="1"/>
      <name val="メイリオ"/>
      <family val="2"/>
      <charset val="128"/>
    </font>
    <font>
      <u/>
      <sz val="12"/>
      <color theme="10"/>
      <name val="Meiryo"/>
      <family val="2"/>
      <charset val="128"/>
    </font>
    <font>
      <sz val="10"/>
      <color rgb="FF000000"/>
      <name val="Yu Gothic UI"/>
    </font>
    <font>
      <sz val="12"/>
      <name val="Meiryo"/>
      <family val="2"/>
      <charset val="128"/>
    </font>
    <font>
      <b/>
      <sz val="18"/>
      <color theme="1"/>
      <name val="Meiryo"/>
      <family val="2"/>
      <charset val="128"/>
    </font>
    <font>
      <b/>
      <sz val="14"/>
      <color theme="1"/>
      <name val="Meiryo"/>
      <family val="2"/>
      <charset val="128"/>
    </font>
    <font>
      <sz val="14"/>
      <color theme="1"/>
      <name val="Meiryo"/>
      <family val="2"/>
      <charset val="128"/>
    </font>
    <font>
      <b/>
      <sz val="12"/>
      <color rgb="FF0070C0"/>
      <name val="Meiryo"/>
      <family val="2"/>
      <charset val="128"/>
    </font>
  </fonts>
  <fills count="6">
    <fill>
      <patternFill patternType="none"/>
    </fill>
    <fill>
      <patternFill patternType="gray125"/>
    </fill>
    <fill>
      <patternFill patternType="solid">
        <fgColor theme="7" tint="0.7999816888943144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rgb="FFFEBAB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51">
    <xf numFmtId="0" fontId="0" fillId="0" borderId="0" xfId="0">
      <alignment vertical="center"/>
    </xf>
    <xf numFmtId="0" fontId="0" fillId="0" borderId="0" xfId="0">
      <alignment vertical="center"/>
    </xf>
    <xf numFmtId="0" fontId="0" fillId="0" borderId="0" xfId="0" applyAlignment="1">
      <alignment horizontal="center" vertical="center"/>
    </xf>
    <xf numFmtId="0" fontId="0" fillId="0" borderId="1" xfId="0" applyBorder="1" applyAlignment="1">
      <alignment vertical="center"/>
    </xf>
    <xf numFmtId="9" fontId="0" fillId="0" borderId="1" xfId="0" applyNumberFormat="1" applyBorder="1" applyAlignment="1">
      <alignment vertical="center"/>
    </xf>
    <xf numFmtId="0" fontId="0" fillId="0" borderId="1" xfId="0" applyBorder="1">
      <alignment vertical="center"/>
    </xf>
    <xf numFmtId="9" fontId="0" fillId="0" borderId="1" xfId="0" applyNumberFormat="1" applyBorder="1">
      <alignment vertical="center"/>
    </xf>
    <xf numFmtId="0" fontId="0" fillId="3" borderId="1" xfId="0" applyFill="1" applyBorder="1" applyAlignment="1">
      <alignment vertical="center"/>
    </xf>
    <xf numFmtId="0" fontId="0" fillId="3" borderId="1" xfId="0" applyFill="1" applyBorder="1">
      <alignment vertical="center"/>
    </xf>
    <xf numFmtId="0" fontId="0" fillId="0" borderId="0" xfId="0" applyBorder="1">
      <alignment vertical="center"/>
    </xf>
    <xf numFmtId="0" fontId="3" fillId="0" borderId="0" xfId="0" applyFont="1">
      <alignment vertical="center"/>
    </xf>
    <xf numFmtId="177" fontId="0" fillId="2" borderId="0" xfId="0" applyNumberFormat="1" applyFill="1" applyProtection="1">
      <alignment vertical="center"/>
      <protection locked="0"/>
    </xf>
    <xf numFmtId="0" fontId="0" fillId="0" borderId="0" xfId="0" applyAlignment="1">
      <alignment vertical="center" wrapText="1"/>
    </xf>
    <xf numFmtId="0" fontId="4" fillId="0" borderId="0" xfId="1">
      <alignment vertical="center"/>
    </xf>
    <xf numFmtId="0" fontId="0" fillId="0" borderId="0" xfId="0" applyProtection="1">
      <alignment vertical="center"/>
    </xf>
    <xf numFmtId="0" fontId="0" fillId="0" borderId="0" xfId="0" applyAlignment="1" applyProtection="1">
      <alignment vertical="center"/>
    </xf>
    <xf numFmtId="9" fontId="0" fillId="0" borderId="0" xfId="0" applyNumberFormat="1" applyFill="1" applyProtection="1">
      <alignment vertical="center"/>
    </xf>
    <xf numFmtId="0" fontId="0" fillId="4" borderId="0" xfId="0" applyFill="1" applyProtection="1">
      <alignment vertical="center"/>
    </xf>
    <xf numFmtId="178" fontId="0" fillId="4" borderId="0" xfId="0" applyNumberFormat="1" applyFill="1" applyProtection="1">
      <alignment vertical="center"/>
    </xf>
    <xf numFmtId="0" fontId="3" fillId="0" borderId="0" xfId="0" applyFont="1" applyProtection="1">
      <alignment vertical="center"/>
    </xf>
    <xf numFmtId="177" fontId="0" fillId="4" borderId="0" xfId="0" applyNumberFormat="1" applyFill="1" applyProtection="1">
      <alignment vertical="center"/>
    </xf>
    <xf numFmtId="177" fontId="0" fillId="0" borderId="0" xfId="0" applyNumberFormat="1" applyProtection="1">
      <alignment vertical="center"/>
    </xf>
    <xf numFmtId="0" fontId="0" fillId="0" borderId="0" xfId="0" applyFill="1" applyBorder="1" applyProtection="1">
      <alignment vertical="center"/>
    </xf>
    <xf numFmtId="0" fontId="0" fillId="0" borderId="0" xfId="0" applyAlignment="1" applyProtection="1">
      <alignment horizontal="right" vertical="center"/>
    </xf>
    <xf numFmtId="0" fontId="2" fillId="0" borderId="0" xfId="0" applyFont="1" applyProtection="1">
      <alignment vertical="center"/>
    </xf>
    <xf numFmtId="176" fontId="0" fillId="0" borderId="0" xfId="0" applyNumberFormat="1" applyProtection="1">
      <alignment vertical="center"/>
    </xf>
    <xf numFmtId="179" fontId="0" fillId="0" borderId="0" xfId="0" applyNumberFormat="1" applyProtection="1">
      <alignment vertical="center"/>
    </xf>
    <xf numFmtId="0" fontId="6" fillId="0" borderId="0" xfId="0" applyFont="1">
      <alignment vertical="center"/>
    </xf>
    <xf numFmtId="0" fontId="7" fillId="0" borderId="0" xfId="0" applyFont="1">
      <alignment vertical="center"/>
    </xf>
    <xf numFmtId="0" fontId="0" fillId="5" borderId="2" xfId="0" applyFill="1" applyBorder="1" applyProtection="1">
      <alignment vertical="center"/>
      <protection locked="0"/>
    </xf>
    <xf numFmtId="180" fontId="0" fillId="0" borderId="0" xfId="0" applyNumberFormat="1">
      <alignment vertical="center"/>
    </xf>
    <xf numFmtId="9" fontId="0" fillId="0" borderId="0" xfId="0" applyNumberFormat="1">
      <alignment vertical="center"/>
    </xf>
    <xf numFmtId="177" fontId="0" fillId="0" borderId="0" xfId="0" applyNumberFormat="1" applyFill="1" applyProtection="1">
      <alignment vertical="center"/>
    </xf>
    <xf numFmtId="0" fontId="2" fillId="0" borderId="0" xfId="0" applyFont="1">
      <alignment vertical="center"/>
    </xf>
    <xf numFmtId="0" fontId="0" fillId="0" borderId="0" xfId="0" applyFont="1">
      <alignment vertical="center"/>
    </xf>
    <xf numFmtId="0" fontId="0" fillId="0" borderId="0" xfId="0" applyAlignment="1">
      <alignment horizontal="centerContinuous" vertical="center"/>
    </xf>
    <xf numFmtId="181" fontId="0" fillId="0" borderId="0" xfId="0" applyNumberFormat="1">
      <alignment vertical="center"/>
    </xf>
    <xf numFmtId="0" fontId="8" fillId="0" borderId="0" xfId="0" applyFont="1">
      <alignment vertical="center"/>
    </xf>
    <xf numFmtId="0" fontId="0" fillId="0" borderId="0" xfId="0" applyProtection="1">
      <alignment vertical="center"/>
      <protection locked="0"/>
    </xf>
    <xf numFmtId="0" fontId="8" fillId="0" borderId="0" xfId="0" applyFont="1" applyAlignment="1">
      <alignment horizontal="right" vertical="center"/>
    </xf>
    <xf numFmtId="182" fontId="8" fillId="0" borderId="0" xfId="0" applyNumberFormat="1" applyFont="1">
      <alignment vertical="center"/>
    </xf>
    <xf numFmtId="0" fontId="8" fillId="4" borderId="0" xfId="0" applyFont="1" applyFill="1">
      <alignment vertical="center"/>
    </xf>
    <xf numFmtId="0" fontId="9" fillId="0" borderId="0" xfId="0" applyFont="1">
      <alignment vertical="center"/>
    </xf>
    <xf numFmtId="14" fontId="0" fillId="2" borderId="1" xfId="0" applyNumberFormat="1" applyFill="1" applyBorder="1" applyProtection="1">
      <alignment vertical="center"/>
      <protection locked="0"/>
    </xf>
    <xf numFmtId="0" fontId="0" fillId="0" borderId="0" xfId="0" applyAlignment="1">
      <alignment horizontal="right" vertical="center"/>
    </xf>
    <xf numFmtId="14" fontId="0" fillId="0" borderId="1" xfId="0" applyNumberFormat="1" applyBorder="1">
      <alignment vertical="center"/>
    </xf>
    <xf numFmtId="177" fontId="0" fillId="0" borderId="1" xfId="0" applyNumberFormat="1" applyBorder="1">
      <alignment vertical="center"/>
    </xf>
    <xf numFmtId="177" fontId="0" fillId="2" borderId="1" xfId="0" applyNumberFormat="1" applyFill="1" applyBorder="1" applyProtection="1">
      <alignment vertical="center"/>
      <protection locked="0"/>
    </xf>
    <xf numFmtId="183" fontId="0" fillId="0" borderId="1" xfId="0" applyNumberFormat="1" applyFill="1" applyBorder="1">
      <alignment vertical="center"/>
    </xf>
    <xf numFmtId="0" fontId="10" fillId="0" borderId="0" xfId="0" applyFont="1">
      <alignment vertical="center"/>
    </xf>
    <xf numFmtId="0" fontId="0" fillId="2" borderId="1" xfId="0" applyFill="1" applyBorder="1" applyAlignment="1" applyProtection="1">
      <alignment horizontal="center" vertical="center"/>
      <protection locked="0"/>
    </xf>
  </cellXfs>
  <cellStyles count="2">
    <cellStyle name="ハイパーリンク" xfId="1" builtinId="8"/>
    <cellStyle name="標準" xfId="0" builtinId="0"/>
  </cellStyles>
  <dxfs count="10">
    <dxf>
      <font>
        <b/>
        <i val="0"/>
        <color rgb="FF9C0006"/>
      </font>
      <fill>
        <patternFill patternType="none">
          <bgColor auto="1"/>
        </patternFill>
      </fill>
    </dxf>
    <dxf>
      <font>
        <b/>
        <i val="0"/>
        <color rgb="FF9C0006"/>
      </font>
      <fill>
        <patternFill patternType="none">
          <bgColor auto="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bgColor theme="7" tint="0.79998168889431442"/>
        </patternFill>
      </fill>
      <border>
        <left style="thin">
          <color auto="1"/>
        </left>
        <right style="thin">
          <color auto="1"/>
        </right>
        <top style="thin">
          <color auto="1"/>
        </top>
        <bottom style="thin">
          <color auto="1"/>
        </bottom>
      </border>
    </dxf>
    <dxf>
      <font>
        <color auto="1"/>
      </font>
      <fill>
        <patternFill>
          <bgColor theme="7" tint="0.79998168889431442"/>
        </patternFill>
      </fill>
      <border>
        <left style="thin">
          <color auto="1"/>
        </left>
        <right style="thin">
          <color auto="1"/>
        </right>
        <top style="thin">
          <color auto="1"/>
        </top>
        <bottom style="thin">
          <color auto="1"/>
        </bottom>
      </border>
    </dxf>
    <dxf>
      <font>
        <color rgb="FF9C0006"/>
      </font>
      <fill>
        <patternFill>
          <bgColor rgb="FFFFC7CE"/>
        </patternFill>
      </fill>
    </dxf>
    <dxf>
      <font>
        <color auto="1"/>
      </font>
      <fill>
        <patternFill>
          <bgColor theme="7" tint="0.79998168889431442"/>
        </patternFill>
      </fill>
      <border>
        <left style="thin">
          <color auto="1"/>
        </left>
        <right style="thin">
          <color auto="1"/>
        </right>
        <top style="thin">
          <color auto="1"/>
        </top>
        <bottom style="thin">
          <color auto="1"/>
        </bottom>
      </border>
    </dxf>
    <dxf>
      <font>
        <color auto="1"/>
      </font>
      <fill>
        <patternFill>
          <bgColor theme="7" tint="0.79998168889431442"/>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F9DCD5"/>
      <color rgb="FFFEBAB3"/>
      <color rgb="FFFA8B88"/>
      <color rgb="FFFC74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panose="020B0604030504040204" pitchFamily="34" charset="-128"/>
                <a:ea typeface="Meiryo" panose="020B0604030504040204" pitchFamily="34" charset="-128"/>
                <a:cs typeface="+mn-cs"/>
              </a:defRPr>
            </a:pPr>
            <a:r>
              <a:rPr lang="ja-JP"/>
              <a:t>イベント進捗</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title>
    <c:autoTitleDeleted val="0"/>
    <c:plotArea>
      <c:layout>
        <c:manualLayout>
          <c:layoutTarget val="inner"/>
          <c:xMode val="edge"/>
          <c:yMode val="edge"/>
          <c:x val="6.4588329254681914E-2"/>
          <c:y val="0.10908301349266016"/>
          <c:w val="0.92181511933895133"/>
          <c:h val="0.75546098313203192"/>
        </c:manualLayout>
      </c:layout>
      <c:lineChart>
        <c:grouping val="standard"/>
        <c:varyColors val="0"/>
        <c:ser>
          <c:idx val="0"/>
          <c:order val="0"/>
          <c:tx>
            <c:strRef>
              <c:f>イベント進捗!$B$5</c:f>
              <c:strCache>
                <c:ptCount val="1"/>
                <c:pt idx="0">
                  <c:v>日別目標</c:v>
                </c:pt>
              </c:strCache>
            </c:strRef>
          </c:tx>
          <c:spPr>
            <a:ln w="38100" cap="rnd">
              <a:solidFill>
                <a:srgbClr val="73B2FA"/>
              </a:solidFill>
              <a:round/>
            </a:ln>
            <a:effectLst/>
          </c:spPr>
          <c:marker>
            <c:symbol val="circle"/>
            <c:size val="8"/>
            <c:spPr>
              <a:solidFill>
                <a:srgbClr val="73B2FA"/>
              </a:solidFill>
              <a:ln w="38100">
                <a:solidFill>
                  <a:srgbClr val="73B2FA"/>
                </a:solidFill>
              </a:ln>
              <a:effectLst/>
            </c:spPr>
          </c:marker>
          <c:dLbls>
            <c:spPr>
              <a:solidFill>
                <a:schemeClr val="bg1">
                  <a:alpha val="70000"/>
                </a:schemeClr>
              </a:solid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eiryo" panose="020B0604030504040204" pitchFamily="34" charset="-128"/>
                    <a:ea typeface="Meiryo" panose="020B0604030504040204" pitchFamily="34"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イベント進捗!$C$4:$K$4</c:f>
              <c:numCache>
                <c:formatCode>m/d/yy</c:formatCode>
                <c:ptCount val="9"/>
                <c:pt idx="0">
                  <c:v>45517</c:v>
                </c:pt>
                <c:pt idx="1">
                  <c:v>45518</c:v>
                </c:pt>
                <c:pt idx="2">
                  <c:v>45519</c:v>
                </c:pt>
                <c:pt idx="3">
                  <c:v>45520</c:v>
                </c:pt>
                <c:pt idx="4">
                  <c:v>45521</c:v>
                </c:pt>
                <c:pt idx="5">
                  <c:v>45522</c:v>
                </c:pt>
                <c:pt idx="6">
                  <c:v>45523</c:v>
                </c:pt>
                <c:pt idx="7">
                  <c:v>45524</c:v>
                </c:pt>
                <c:pt idx="8">
                  <c:v>45525</c:v>
                </c:pt>
              </c:numCache>
            </c:numRef>
          </c:cat>
          <c:val>
            <c:numRef>
              <c:f>イベント進捗!$C$5:$K$5</c:f>
              <c:numCache>
                <c:formatCode>#,##0_);[Red]\(#,##0\)</c:formatCode>
                <c:ptCount val="9"/>
                <c:pt idx="0">
                  <c:v>0</c:v>
                </c:pt>
                <c:pt idx="1">
                  <c:v>0</c:v>
                </c:pt>
                <c:pt idx="2">
                  <c:v>0</c:v>
                </c:pt>
                <c:pt idx="3">
                  <c:v>0</c:v>
                </c:pt>
                <c:pt idx="4">
                  <c:v>0</c:v>
                </c:pt>
                <c:pt idx="5">
                  <c:v>0</c:v>
                </c:pt>
                <c:pt idx="6">
                  <c:v>0</c:v>
                </c:pt>
                <c:pt idx="7">
                  <c:v>0</c:v>
                </c:pt>
                <c:pt idx="8">
                  <c:v>0</c:v>
                </c:pt>
              </c:numCache>
            </c:numRef>
          </c:val>
          <c:smooth val="0"/>
          <c:extLst>
            <c:ext xmlns:c16="http://schemas.microsoft.com/office/drawing/2014/chart" uri="{C3380CC4-5D6E-409C-BE32-E72D297353CC}">
              <c16:uniqueId val="{00000000-A227-1F4F-884D-7A966D35F778}"/>
            </c:ext>
          </c:extLst>
        </c:ser>
        <c:ser>
          <c:idx val="1"/>
          <c:order val="1"/>
          <c:tx>
            <c:strRef>
              <c:f>イベント進捗!$B$6</c:f>
              <c:strCache>
                <c:ptCount val="1"/>
                <c:pt idx="0">
                  <c:v>実績</c:v>
                </c:pt>
              </c:strCache>
            </c:strRef>
          </c:tx>
          <c:spPr>
            <a:ln w="38100" cap="rnd">
              <a:solidFill>
                <a:srgbClr val="FA8B88"/>
              </a:solidFill>
              <a:round/>
            </a:ln>
            <a:effectLst/>
          </c:spPr>
          <c:marker>
            <c:symbol val="circle"/>
            <c:size val="8"/>
            <c:spPr>
              <a:solidFill>
                <a:srgbClr val="FA8B88"/>
              </a:solidFill>
              <a:ln w="38100">
                <a:solidFill>
                  <a:srgbClr val="FA8B88"/>
                </a:solidFill>
              </a:ln>
              <a:effectLst/>
            </c:spPr>
          </c:marker>
          <c:dLbls>
            <c:spPr>
              <a:solidFill>
                <a:schemeClr val="bg1">
                  <a:alpha val="70000"/>
                </a:schemeClr>
              </a:solid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eiryo" panose="020B0604030504040204" pitchFamily="34" charset="-128"/>
                    <a:ea typeface="Meiryo" panose="020B0604030504040204" pitchFamily="34"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イベント進捗!$C$4:$K$4</c:f>
              <c:numCache>
                <c:formatCode>m/d/yy</c:formatCode>
                <c:ptCount val="9"/>
                <c:pt idx="0">
                  <c:v>45517</c:v>
                </c:pt>
                <c:pt idx="1">
                  <c:v>45518</c:v>
                </c:pt>
                <c:pt idx="2">
                  <c:v>45519</c:v>
                </c:pt>
                <c:pt idx="3">
                  <c:v>45520</c:v>
                </c:pt>
                <c:pt idx="4">
                  <c:v>45521</c:v>
                </c:pt>
                <c:pt idx="5">
                  <c:v>45522</c:v>
                </c:pt>
                <c:pt idx="6">
                  <c:v>45523</c:v>
                </c:pt>
                <c:pt idx="7">
                  <c:v>45524</c:v>
                </c:pt>
                <c:pt idx="8">
                  <c:v>45525</c:v>
                </c:pt>
              </c:numCache>
            </c:numRef>
          </c:cat>
          <c:val>
            <c:numRef>
              <c:f>イベント進捗!$C$6:$K$6</c:f>
              <c:numCache>
                <c:formatCode>#,##0_);[Red]\(#,##0\)</c:formatCode>
                <c:ptCount val="9"/>
              </c:numCache>
            </c:numRef>
          </c:val>
          <c:smooth val="0"/>
          <c:extLst>
            <c:ext xmlns:c16="http://schemas.microsoft.com/office/drawing/2014/chart" uri="{C3380CC4-5D6E-409C-BE32-E72D297353CC}">
              <c16:uniqueId val="{00000001-A227-1F4F-884D-7A966D35F778}"/>
            </c:ext>
          </c:extLst>
        </c:ser>
        <c:dLbls>
          <c:dLblPos val="t"/>
          <c:showLegendKey val="0"/>
          <c:showVal val="1"/>
          <c:showCatName val="0"/>
          <c:showSerName val="0"/>
          <c:showPercent val="0"/>
          <c:showBubbleSize val="0"/>
        </c:dLbls>
        <c:marker val="1"/>
        <c:smooth val="0"/>
        <c:axId val="987060815"/>
        <c:axId val="953563519"/>
      </c:lineChart>
      <c:dateAx>
        <c:axId val="987060815"/>
        <c:scaling>
          <c:orientation val="minMax"/>
        </c:scaling>
        <c:delete val="0"/>
        <c:axPos val="b"/>
        <c:numFmt formatCode="m/d/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crossAx val="953563519"/>
        <c:crosses val="autoZero"/>
        <c:auto val="1"/>
        <c:lblOffset val="100"/>
        <c:baseTimeUnit val="days"/>
      </c:dateAx>
      <c:valAx>
        <c:axId val="953563519"/>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crossAx val="98706081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Meiryo" panose="020B0604030504040204" pitchFamily="34" charset="-128"/>
          <a:ea typeface="Meiryo" panose="020B0604030504040204" pitchFamily="34" charset="-128"/>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381000</xdr:colOff>
      <xdr:row>10</xdr:row>
      <xdr:rowOff>25400</xdr:rowOff>
    </xdr:from>
    <xdr:to>
      <xdr:col>7</xdr:col>
      <xdr:colOff>0</xdr:colOff>
      <xdr:row>12</xdr:row>
      <xdr:rowOff>254000</xdr:rowOff>
    </xdr:to>
    <xdr:sp macro="" textlink="">
      <xdr:nvSpPr>
        <xdr:cNvPr id="4" name="テキスト ボックス 3">
          <a:extLst>
            <a:ext uri="{FF2B5EF4-FFF2-40B4-BE49-F238E27FC236}">
              <a16:creationId xmlns:a16="http://schemas.microsoft.com/office/drawing/2014/main" id="{9484E757-0AF1-894A-A0D4-0AF0D1E7D5FC}"/>
            </a:ext>
          </a:extLst>
        </xdr:cNvPr>
        <xdr:cNvSpPr txBox="1"/>
      </xdr:nvSpPr>
      <xdr:spPr>
        <a:xfrm>
          <a:off x="7035800" y="2590800"/>
          <a:ext cx="2908300" cy="736600"/>
        </a:xfrm>
        <a:prstGeom prst="rect">
          <a:avLst/>
        </a:prstGeom>
        <a:solidFill>
          <a:srgbClr val="F9DCD5"/>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「特効計算」シートを使用した場合は</a:t>
          </a:r>
          <a:endParaRPr kumimoji="1" lang="en-US" altLang="ja-JP" sz="1200"/>
        </a:p>
        <a:p>
          <a:r>
            <a:rPr kumimoji="1" lang="ja-JP" altLang="en-US" sz="1200"/>
            <a:t>赤セルを空欄にしてください。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63500</xdr:colOff>
      <xdr:row>8</xdr:row>
      <xdr:rowOff>101600</xdr:rowOff>
    </xdr:from>
    <xdr:to>
      <xdr:col>10</xdr:col>
      <xdr:colOff>901700</xdr:colOff>
      <xdr:row>31</xdr:row>
      <xdr:rowOff>63500</xdr:rowOff>
    </xdr:to>
    <xdr:graphicFrame macro="">
      <xdr:nvGraphicFramePr>
        <xdr:cNvPr id="2" name="グラフ 1">
          <a:extLst>
            <a:ext uri="{FF2B5EF4-FFF2-40B4-BE49-F238E27FC236}">
              <a16:creationId xmlns:a16="http://schemas.microsoft.com/office/drawing/2014/main" id="{0ACE7933-F2AC-354B-B3D5-BEABE25696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ta-life.com/contact/" TargetMode="External"/><Relationship Id="rId2" Type="http://schemas.openxmlformats.org/officeDocument/2006/relationships/hyperlink" Target="https://x.com/lop_0125" TargetMode="External"/><Relationship Id="rId1" Type="http://schemas.openxmlformats.org/officeDocument/2006/relationships/hyperlink" Target="https://ota-life.com/music_tour/" TargetMode="External"/><Relationship Id="rId4" Type="http://schemas.openxmlformats.org/officeDocument/2006/relationships/hyperlink" Target="https://ota-life.com/music-tour-excel/"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53E7A-9718-1E45-8485-1009EF620F4C}">
  <dimension ref="B1:B62"/>
  <sheetViews>
    <sheetView tabSelected="1" workbookViewId="0"/>
  </sheetViews>
  <sheetFormatPr baseColWidth="10" defaultRowHeight="20"/>
  <cols>
    <col min="2" max="2" width="90.85546875" customWidth="1"/>
  </cols>
  <sheetData>
    <row r="1" spans="2:2" ht="29">
      <c r="B1" s="28" t="s">
        <v>49</v>
      </c>
    </row>
    <row r="3" spans="2:2" s="1" customFormat="1">
      <c r="B3" s="1" t="s">
        <v>45</v>
      </c>
    </row>
    <row r="4" spans="2:2" s="1" customFormat="1">
      <c r="B4" s="1" t="s">
        <v>46</v>
      </c>
    </row>
    <row r="6" spans="2:2">
      <c r="B6" s="27" t="s">
        <v>57</v>
      </c>
    </row>
    <row r="7" spans="2:2">
      <c r="B7" s="27" t="s">
        <v>47</v>
      </c>
    </row>
    <row r="8" spans="2:2">
      <c r="B8" s="27" t="s">
        <v>48</v>
      </c>
    </row>
    <row r="10" spans="2:2">
      <c r="B10" s="27" t="s">
        <v>41</v>
      </c>
    </row>
    <row r="11" spans="2:2">
      <c r="B11" s="27" t="s">
        <v>42</v>
      </c>
    </row>
    <row r="12" spans="2:2">
      <c r="B12" s="13" t="s">
        <v>53</v>
      </c>
    </row>
    <row r="13" spans="2:2">
      <c r="B13" s="27" t="s">
        <v>43</v>
      </c>
    </row>
    <row r="14" spans="2:2">
      <c r="B14" s="13" t="s">
        <v>54</v>
      </c>
    </row>
    <row r="15" spans="2:2">
      <c r="B15" s="27" t="s">
        <v>44</v>
      </c>
    </row>
    <row r="16" spans="2:2" s="1" customFormat="1">
      <c r="B16" s="27"/>
    </row>
    <row r="17" spans="2:2" s="1" customFormat="1">
      <c r="B17" s="27" t="s">
        <v>50</v>
      </c>
    </row>
    <row r="18" spans="2:2" s="1" customFormat="1">
      <c r="B18" s="27" t="s">
        <v>51</v>
      </c>
    </row>
    <row r="19" spans="2:2" s="1" customFormat="1">
      <c r="B19" s="13" t="s">
        <v>86</v>
      </c>
    </row>
    <row r="20" spans="2:2" s="1" customFormat="1">
      <c r="B20" s="27" t="s">
        <v>56</v>
      </c>
    </row>
    <row r="21" spans="2:2" s="1" customFormat="1">
      <c r="B21" s="27"/>
    </row>
    <row r="22" spans="2:2" s="1" customFormat="1" ht="29">
      <c r="B22" s="28" t="s">
        <v>34</v>
      </c>
    </row>
    <row r="23" spans="2:2">
      <c r="B23" t="s">
        <v>55</v>
      </c>
    </row>
    <row r="24" spans="2:2">
      <c r="B24" s="10" t="s">
        <v>31</v>
      </c>
    </row>
    <row r="26" spans="2:2" s="1" customFormat="1">
      <c r="B26" s="49" t="s">
        <v>134</v>
      </c>
    </row>
    <row r="27" spans="2:2" s="1" customFormat="1">
      <c r="B27" s="1" t="s">
        <v>135</v>
      </c>
    </row>
    <row r="28" spans="2:2" s="1" customFormat="1">
      <c r="B28" s="1" t="s">
        <v>136</v>
      </c>
    </row>
    <row r="29" spans="2:2" s="1" customFormat="1">
      <c r="B29" s="1" t="s">
        <v>137</v>
      </c>
    </row>
    <row r="30" spans="2:2" s="1" customFormat="1">
      <c r="B30" s="1" t="s">
        <v>138</v>
      </c>
    </row>
    <row r="31" spans="2:2" s="1" customFormat="1"/>
    <row r="32" spans="2:2" s="1" customFormat="1"/>
    <row r="33" spans="2:2" s="1" customFormat="1">
      <c r="B33" s="49" t="s">
        <v>143</v>
      </c>
    </row>
    <row r="34" spans="2:2" s="1" customFormat="1">
      <c r="B34" s="1" t="s">
        <v>139</v>
      </c>
    </row>
    <row r="35" spans="2:2" s="1" customFormat="1"/>
    <row r="36" spans="2:2" s="1" customFormat="1" ht="69" customHeight="1">
      <c r="B36" s="12" t="s">
        <v>33</v>
      </c>
    </row>
    <row r="37" spans="2:2" s="1" customFormat="1"/>
    <row r="38" spans="2:2" s="1" customFormat="1" ht="73" customHeight="1">
      <c r="B38" s="12" t="s">
        <v>87</v>
      </c>
    </row>
    <row r="39" spans="2:2" s="1" customFormat="1"/>
    <row r="40" spans="2:2" s="1" customFormat="1" ht="73" customHeight="1">
      <c r="B40" s="12" t="s">
        <v>83</v>
      </c>
    </row>
    <row r="41" spans="2:2" s="1" customFormat="1"/>
    <row r="42" spans="2:2" s="1" customFormat="1" ht="115" customHeight="1">
      <c r="B42" s="12" t="s">
        <v>144</v>
      </c>
    </row>
    <row r="43" spans="2:2" s="1" customFormat="1"/>
    <row r="44" spans="2:2" s="1" customFormat="1" ht="115" customHeight="1">
      <c r="B44" s="12" t="s">
        <v>145</v>
      </c>
    </row>
    <row r="45" spans="2:2" s="1" customFormat="1"/>
    <row r="46" spans="2:2" ht="103" customHeight="1">
      <c r="B46" s="12" t="s">
        <v>85</v>
      </c>
    </row>
    <row r="47" spans="2:2" ht="26" customHeight="1">
      <c r="B47" s="13" t="s">
        <v>84</v>
      </c>
    </row>
    <row r="48" spans="2:2" s="1" customFormat="1"/>
    <row r="49" spans="2:2" ht="62" customHeight="1">
      <c r="B49" s="12" t="s">
        <v>35</v>
      </c>
    </row>
    <row r="50" spans="2:2" s="1" customFormat="1"/>
    <row r="51" spans="2:2" s="1" customFormat="1"/>
    <row r="52" spans="2:2" s="1" customFormat="1">
      <c r="B52" s="49" t="s">
        <v>140</v>
      </c>
    </row>
    <row r="53" spans="2:2" s="1" customFormat="1">
      <c r="B53" s="1" t="s">
        <v>141</v>
      </c>
    </row>
    <row r="54" spans="2:2" s="1" customFormat="1">
      <c r="B54" s="1" t="s">
        <v>142</v>
      </c>
    </row>
    <row r="55" spans="2:2" s="1" customFormat="1"/>
    <row r="57" spans="2:2" s="1" customFormat="1"/>
    <row r="58" spans="2:2" s="1" customFormat="1"/>
    <row r="59" spans="2:2" s="1" customFormat="1"/>
    <row r="60" spans="2:2" s="1" customFormat="1"/>
    <row r="61" spans="2:2" s="1" customFormat="1"/>
    <row r="62" spans="2:2" s="1" customFormat="1"/>
  </sheetData>
  <phoneticPr fontId="1"/>
  <hyperlinks>
    <hyperlink ref="B47" r:id="rId1" location="goal" xr:uid="{E76DEB9A-A37E-514E-A83D-3D64428A7EA9}"/>
    <hyperlink ref="B12" r:id="rId2" xr:uid="{6DEFC41D-5D8F-E248-8B91-DDB359DD2A9C}"/>
    <hyperlink ref="B14" r:id="rId3" xr:uid="{F6994B44-E943-974B-AFE9-3121492592AF}"/>
    <hyperlink ref="B19" r:id="rId4" xr:uid="{FB299C57-24FA-894A-BD15-0543E2ABD4A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883CB-B3D0-A64A-840C-89805519F8E6}">
  <dimension ref="B2:I42"/>
  <sheetViews>
    <sheetView zoomScaleNormal="100" workbookViewId="0"/>
  </sheetViews>
  <sheetFormatPr baseColWidth="10" defaultRowHeight="20"/>
  <cols>
    <col min="1" max="1" width="10.7109375" style="1"/>
    <col min="2" max="2" width="17.28515625" style="1" customWidth="1"/>
    <col min="3" max="3" width="17" style="1" customWidth="1"/>
    <col min="4" max="4" width="13" style="1" customWidth="1"/>
    <col min="5" max="8" width="10.7109375" style="1"/>
    <col min="9" max="9" width="90.5703125" style="1" customWidth="1"/>
    <col min="10" max="16384" width="10.7109375" style="1"/>
  </cols>
  <sheetData>
    <row r="2" spans="2:9" ht="23">
      <c r="B2" s="37" t="s">
        <v>126</v>
      </c>
      <c r="C2" s="1" t="s">
        <v>102</v>
      </c>
      <c r="D2" s="50" t="s">
        <v>125</v>
      </c>
      <c r="E2" s="50"/>
      <c r="I2" s="1" t="s">
        <v>103</v>
      </c>
    </row>
    <row r="3" spans="2:9">
      <c r="C3" s="1" t="s">
        <v>104</v>
      </c>
      <c r="D3" s="1" t="str">
        <f>VLOOKUP($D$2,特効計算用!$A$4:$F$7,2,)&amp;""</f>
        <v>★5</v>
      </c>
      <c r="E3" s="38"/>
      <c r="F3" s="1" t="str">
        <f t="shared" ref="F3:F6" si="0">IF(D3="","","枚")</f>
        <v>枚</v>
      </c>
      <c r="G3" s="31">
        <f>IFERROR(VLOOKUP($E3,特効計算用!$A$9:$K$16,VLOOKUP(特効計算!$D$2,特効計算用!$A$4:$H$7,8,)+VLOOKUP($D3,特効計算用!$A$18:$B$20,2,),),"")</f>
        <v>0</v>
      </c>
      <c r="I3" s="1" t="s">
        <v>105</v>
      </c>
    </row>
    <row r="4" spans="2:9">
      <c r="D4" s="1" t="str">
        <f>VLOOKUP($D$2,特効計算用!$A$4:$F$7,3,)&amp;""</f>
        <v>★4</v>
      </c>
      <c r="E4" s="38"/>
      <c r="F4" s="1" t="str">
        <f t="shared" si="0"/>
        <v>枚</v>
      </c>
      <c r="G4" s="31">
        <f>IFERROR(VLOOKUP($E4,特効計算用!$A$9:$K$16,VLOOKUP(特効計算!$D$2,特効計算用!$A$4:$H$7,8,)+VLOOKUP($D4,特効計算用!$A$18:$B$20,2,),),"")</f>
        <v>0</v>
      </c>
    </row>
    <row r="5" spans="2:9">
      <c r="D5" s="1" t="str">
        <f>VLOOKUP($D$2,特効計算用!$A$4:$F$7,4,)&amp;""</f>
        <v>★3</v>
      </c>
      <c r="E5" s="38"/>
      <c r="F5" s="1" t="str">
        <f t="shared" si="0"/>
        <v>枚</v>
      </c>
      <c r="G5" s="31">
        <f>IFERROR(VLOOKUP($E5,特効計算用!$A$9:$K$16,VLOOKUP(特効計算!$D$2,特効計算用!$A$4:$H$7,8,)+VLOOKUP($D5,特効計算用!$A$18:$B$20,2,),),"")</f>
        <v>0</v>
      </c>
      <c r="I5" s="1" t="s">
        <v>106</v>
      </c>
    </row>
    <row r="6" spans="2:9">
      <c r="D6" s="1" t="str">
        <f>VLOOKUP($D$2,特効計算用!$A$4:$F$7,5,)&amp;""</f>
        <v>★3</v>
      </c>
      <c r="E6" s="38"/>
      <c r="F6" s="1" t="str">
        <f t="shared" si="0"/>
        <v>枚</v>
      </c>
      <c r="G6" s="31">
        <f>IFERROR(VLOOKUP($E6,特効計算用!$A$9:$K$16,VLOOKUP(特効計算!$D$2,特効計算用!$A$4:$H$7,8,)+VLOOKUP($D6,特効計算用!$A$18:$B$20,2,),),"")</f>
        <v>0</v>
      </c>
    </row>
    <row r="7" spans="2:9">
      <c r="D7" s="1" t="str">
        <f>VLOOKUP($D$2,特効計算用!$A$4:$F$7,6,)&amp;""</f>
        <v>★3</v>
      </c>
      <c r="E7" s="38"/>
      <c r="F7" s="1" t="str">
        <f>IF(D7="","","枚")</f>
        <v>枚</v>
      </c>
      <c r="G7" s="31">
        <f>IFERROR(VLOOKUP($E7,特効計算用!$A$9:$K$16,VLOOKUP(特効計算!$D$2,特効計算用!$A$4:$H$7,8,)+VLOOKUP($D7,特効計算用!$A$18:$B$20,2,),),"")</f>
        <v>0</v>
      </c>
    </row>
    <row r="8" spans="2:9">
      <c r="F8" s="1" t="s">
        <v>29</v>
      </c>
      <c r="G8" s="31">
        <f>SUM(G3:G7)</f>
        <v>0</v>
      </c>
      <c r="I8" s="1" t="s">
        <v>107</v>
      </c>
    </row>
    <row r="9" spans="2:9">
      <c r="I9" s="1" t="s">
        <v>108</v>
      </c>
    </row>
    <row r="10" spans="2:9">
      <c r="C10" s="1" t="s">
        <v>102</v>
      </c>
      <c r="D10" s="50" t="s">
        <v>125</v>
      </c>
      <c r="E10" s="50"/>
      <c r="I10" s="1" t="s">
        <v>109</v>
      </c>
    </row>
    <row r="11" spans="2:9">
      <c r="C11" s="1" t="s">
        <v>104</v>
      </c>
      <c r="D11" s="1" t="str">
        <f>VLOOKUP($D$10,特効計算用!$A$4:$F$7,2,)&amp;""</f>
        <v>★5</v>
      </c>
      <c r="E11" s="38"/>
      <c r="F11" s="1" t="str">
        <f t="shared" ref="F11:F14" si="1">IF(D11="","","枚")</f>
        <v>枚</v>
      </c>
      <c r="G11" s="31">
        <f>IFERROR(VLOOKUP($E11,特効計算用!$A$9:$K$16,VLOOKUP(特効計算!$D$10,特効計算用!$A$4:$H$7,8,)+VLOOKUP($D11,特効計算用!$A$18:$B$20,2,),),"")</f>
        <v>0</v>
      </c>
      <c r="I11" s="1" t="s">
        <v>110</v>
      </c>
    </row>
    <row r="12" spans="2:9">
      <c r="D12" s="1" t="str">
        <f>VLOOKUP($D$10,特効計算用!$A$4:$F$7,3,)&amp;""</f>
        <v>★4</v>
      </c>
      <c r="E12" s="38"/>
      <c r="F12" s="1" t="str">
        <f t="shared" si="1"/>
        <v>枚</v>
      </c>
      <c r="G12" s="31">
        <f>IFERROR(VLOOKUP($E12,特効計算用!$A$9:$K$16,VLOOKUP(特効計算!$D$10,特効計算用!$A$4:$H$7,8,)+VLOOKUP($D12,特効計算用!$A$18:$B$20,2,),),"")</f>
        <v>0</v>
      </c>
      <c r="I12" s="1" t="s">
        <v>111</v>
      </c>
    </row>
    <row r="13" spans="2:9">
      <c r="D13" s="1" t="str">
        <f>VLOOKUP($D$10,特効計算用!$A$4:$F$7,4,)&amp;""</f>
        <v>★3</v>
      </c>
      <c r="E13" s="38"/>
      <c r="F13" s="1" t="str">
        <f t="shared" si="1"/>
        <v>枚</v>
      </c>
      <c r="G13" s="31">
        <f>IFERROR(VLOOKUP($E13,特効計算用!$A$9:$K$16,VLOOKUP(特効計算!$D$10,特効計算用!$A$4:$H$7,8,)+VLOOKUP($D13,特効計算用!$A$18:$B$20,2,),),"")</f>
        <v>0</v>
      </c>
      <c r="I13" s="1" t="s">
        <v>112</v>
      </c>
    </row>
    <row r="14" spans="2:9">
      <c r="D14" s="1" t="str">
        <f>VLOOKUP($D$10,特効計算用!$A$4:$F$7,5,)&amp;""</f>
        <v>★3</v>
      </c>
      <c r="E14" s="38"/>
      <c r="F14" s="1" t="str">
        <f t="shared" si="1"/>
        <v>枚</v>
      </c>
      <c r="G14" s="31">
        <f>IFERROR(VLOOKUP($E14,特効計算用!$A$9:$K$16,VLOOKUP(特効計算!$D$10,特効計算用!$A$4:$H$7,8,)+VLOOKUP($D14,特効計算用!$A$18:$B$20,2,),),"")</f>
        <v>0</v>
      </c>
      <c r="I14" s="1" t="s">
        <v>113</v>
      </c>
    </row>
    <row r="15" spans="2:9">
      <c r="D15" s="1" t="str">
        <f>VLOOKUP($D$10,特効計算用!$A$4:$F$7,6,)&amp;""</f>
        <v>★3</v>
      </c>
      <c r="E15" s="38"/>
      <c r="F15" s="1" t="str">
        <f>IF(D15="","","枚")</f>
        <v>枚</v>
      </c>
      <c r="G15" s="31">
        <f>IFERROR(VLOOKUP($E15,特効計算用!$A$9:$K$16,VLOOKUP(特効計算!$D$10,特効計算用!$A$4:$H$7,8,)+VLOOKUP($D15,特効計算用!$A$18:$B$20,2,),),"")</f>
        <v>0</v>
      </c>
      <c r="I15" s="1" t="s">
        <v>114</v>
      </c>
    </row>
    <row r="16" spans="2:9">
      <c r="F16" s="1" t="s">
        <v>29</v>
      </c>
      <c r="G16" s="31">
        <f>SUM(G11:G15)</f>
        <v>0</v>
      </c>
      <c r="I16" s="1" t="s">
        <v>115</v>
      </c>
    </row>
    <row r="18" spans="2:9" ht="24" customHeight="1">
      <c r="C18" s="37"/>
      <c r="D18" s="39" t="s">
        <v>116</v>
      </c>
      <c r="E18" s="40">
        <f>COUNTIF(G3:G7,"&gt;=0.01")+COUNTIF(G11:G15,"&gt;=0.01")</f>
        <v>0</v>
      </c>
      <c r="F18" s="37" t="s">
        <v>117</v>
      </c>
      <c r="I18" s="1" t="s">
        <v>118</v>
      </c>
    </row>
    <row r="19" spans="2:9" ht="23">
      <c r="C19" s="37"/>
      <c r="D19" s="39" t="s">
        <v>119</v>
      </c>
      <c r="E19" s="41">
        <f>(G8+G16)*100</f>
        <v>0</v>
      </c>
      <c r="F19" s="37" t="s">
        <v>0</v>
      </c>
      <c r="I19" s="1" t="s">
        <v>120</v>
      </c>
    </row>
    <row r="20" spans="2:9">
      <c r="E20" s="1" t="str">
        <f>IF($E$18&gt;7,"編成カードの枚数が多すぎます","")</f>
        <v/>
      </c>
      <c r="I20" s="1" t="s">
        <v>121</v>
      </c>
    </row>
    <row r="22" spans="2:9">
      <c r="I22" s="1" t="s">
        <v>122</v>
      </c>
    </row>
    <row r="23" spans="2:9">
      <c r="I23" s="1" t="s">
        <v>123</v>
      </c>
    </row>
    <row r="24" spans="2:9" ht="23">
      <c r="B24" s="37" t="s">
        <v>127</v>
      </c>
      <c r="C24" s="1" t="s">
        <v>102</v>
      </c>
      <c r="D24" s="50" t="s">
        <v>125</v>
      </c>
      <c r="E24" s="50"/>
    </row>
    <row r="25" spans="2:9">
      <c r="C25" s="1" t="s">
        <v>104</v>
      </c>
      <c r="D25" s="1" t="str">
        <f>VLOOKUP($D$24,特効計算用!$A$4:$F$7,2,)&amp;""</f>
        <v>★5</v>
      </c>
      <c r="E25" s="38"/>
      <c r="F25" s="1" t="str">
        <f t="shared" ref="F25:F28" si="2">IF(D25="","","枚")</f>
        <v>枚</v>
      </c>
      <c r="G25" s="31">
        <f>IFERROR(VLOOKUP($E25,特効計算用!$A$9:$K$16,VLOOKUP(特効計算!$D$24,特効計算用!$A$4:$H$7,8,)+VLOOKUP($D25,特効計算用!$A$18:$B$20,2,),),"")</f>
        <v>0</v>
      </c>
    </row>
    <row r="26" spans="2:9">
      <c r="D26" s="1" t="str">
        <f>VLOOKUP($D$24,特効計算用!$A$4:$F$7,3,)&amp;""</f>
        <v>★4</v>
      </c>
      <c r="E26" s="38"/>
      <c r="F26" s="1" t="str">
        <f t="shared" si="2"/>
        <v>枚</v>
      </c>
      <c r="G26" s="31">
        <f>IFERROR(VLOOKUP($E26,特効計算用!$A$9:$K$16,VLOOKUP(特効計算!$D$24,特効計算用!$A$4:$H$7,8,)+VLOOKUP($D26,特効計算用!$A$18:$B$20,2,),),"")</f>
        <v>0</v>
      </c>
    </row>
    <row r="27" spans="2:9">
      <c r="D27" s="1" t="str">
        <f>VLOOKUP($D$24,特効計算用!$A$4:$F$7,4,)&amp;""</f>
        <v>★3</v>
      </c>
      <c r="E27" s="38"/>
      <c r="F27" s="1" t="str">
        <f t="shared" si="2"/>
        <v>枚</v>
      </c>
      <c r="G27" s="31">
        <f>IFERROR(VLOOKUP($E27,特効計算用!$A$9:$K$16,VLOOKUP(特効計算!$D$24,特効計算用!$A$4:$H$7,8,)+VLOOKUP($D27,特効計算用!$A$18:$B$20,2,),),"")</f>
        <v>0</v>
      </c>
    </row>
    <row r="28" spans="2:9">
      <c r="D28" s="1" t="str">
        <f>VLOOKUP($D$24,特効計算用!$A$4:$F$7,5,)&amp;""</f>
        <v>★3</v>
      </c>
      <c r="E28" s="38"/>
      <c r="F28" s="1" t="str">
        <f t="shared" si="2"/>
        <v>枚</v>
      </c>
      <c r="G28" s="31">
        <f>IFERROR(VLOOKUP($E28,特効計算用!$A$9:$K$16,VLOOKUP(特効計算!$D$24,特効計算用!$A$4:$H$7,8,)+VLOOKUP($D28,特効計算用!$A$18:$B$20,2,),),"")</f>
        <v>0</v>
      </c>
    </row>
    <row r="29" spans="2:9">
      <c r="D29" s="1" t="str">
        <f>VLOOKUP($D$24,特効計算用!$A$4:$F$7,6,)&amp;""</f>
        <v>★3</v>
      </c>
      <c r="E29" s="38"/>
      <c r="F29" s="1" t="str">
        <f>IF(D29="","","枚")</f>
        <v>枚</v>
      </c>
      <c r="G29" s="31">
        <f>IFERROR(VLOOKUP($E29,特効計算用!$A$9:$K$16,VLOOKUP(特効計算!$D$24,特効計算用!$A$4:$H$7,8,)+VLOOKUP($D29,特効計算用!$A$18:$B$20,2,),),"")</f>
        <v>0</v>
      </c>
    </row>
    <row r="30" spans="2:9">
      <c r="F30" s="1" t="s">
        <v>29</v>
      </c>
      <c r="G30" s="31">
        <f>SUM(G25:G29)</f>
        <v>0</v>
      </c>
    </row>
    <row r="32" spans="2:9">
      <c r="C32" s="1" t="s">
        <v>102</v>
      </c>
      <c r="D32" s="50" t="s">
        <v>125</v>
      </c>
      <c r="E32" s="50"/>
    </row>
    <row r="33" spans="3:7">
      <c r="C33" s="1" t="s">
        <v>104</v>
      </c>
      <c r="D33" s="1" t="str">
        <f>VLOOKUP($D$32,特効計算用!$A$4:$F$7,2,)&amp;""</f>
        <v>★5</v>
      </c>
      <c r="E33" s="38"/>
      <c r="F33" s="1" t="str">
        <f t="shared" ref="F33:F36" si="3">IF(D33="","","枚")</f>
        <v>枚</v>
      </c>
      <c r="G33" s="31">
        <f>IFERROR(VLOOKUP($E33,特効計算用!$A$9:$K$16,VLOOKUP(特効計算!$D$32,特効計算用!$A$4:$H$7,8,)+VLOOKUP($D33,特効計算用!$A$18:$B$20,2,),),"")</f>
        <v>0</v>
      </c>
    </row>
    <row r="34" spans="3:7">
      <c r="D34" s="1" t="str">
        <f>VLOOKUP($D$32,特効計算用!$A$4:$F$7,3,)&amp;""</f>
        <v>★4</v>
      </c>
      <c r="E34" s="38"/>
      <c r="F34" s="1" t="str">
        <f t="shared" si="3"/>
        <v>枚</v>
      </c>
      <c r="G34" s="31">
        <f>IFERROR(VLOOKUP($E34,特効計算用!$A$9:$K$16,VLOOKUP(特効計算!$D$32,特効計算用!$A$4:$H$7,8,)+VLOOKUP($D34,特効計算用!$A$18:$B$20,2,),),"")</f>
        <v>0</v>
      </c>
    </row>
    <row r="35" spans="3:7">
      <c r="D35" s="1" t="str">
        <f>VLOOKUP($D$32,特効計算用!$A$4:$F$7,4,)&amp;""</f>
        <v>★3</v>
      </c>
      <c r="E35" s="38"/>
      <c r="F35" s="1" t="str">
        <f t="shared" si="3"/>
        <v>枚</v>
      </c>
      <c r="G35" s="31">
        <f>IFERROR(VLOOKUP($E35,特効計算用!$A$9:$K$16,VLOOKUP(特効計算!$D$32,特効計算用!$A$4:$H$7,8,)+VLOOKUP($D35,特効計算用!$A$18:$B$20,2,),),"")</f>
        <v>0</v>
      </c>
    </row>
    <row r="36" spans="3:7">
      <c r="D36" s="1" t="str">
        <f>VLOOKUP($D$32,特効計算用!$A$4:$F$7,5,)&amp;""</f>
        <v>★3</v>
      </c>
      <c r="E36" s="38"/>
      <c r="F36" s="1" t="str">
        <f t="shared" si="3"/>
        <v>枚</v>
      </c>
      <c r="G36" s="31">
        <f>IFERROR(VLOOKUP($E36,特効計算用!$A$9:$K$16,VLOOKUP(特効計算!$D$32,特効計算用!$A$4:$H$7,8,)+VLOOKUP($D36,特効計算用!$A$18:$B$20,2,),),"")</f>
        <v>0</v>
      </c>
    </row>
    <row r="37" spans="3:7">
      <c r="D37" s="1" t="str">
        <f>VLOOKUP($D$32,特効計算用!$A$4:$F$7,6,)&amp;""</f>
        <v>★3</v>
      </c>
      <c r="E37" s="38"/>
      <c r="F37" s="1" t="str">
        <f>IF(D37="","","枚")</f>
        <v>枚</v>
      </c>
      <c r="G37" s="31">
        <f>IFERROR(VLOOKUP($E37,特効計算用!$A$9:$K$16,VLOOKUP(特効計算!$D$32,特効計算用!$A$4:$H$7,8,)+VLOOKUP($D37,特効計算用!$A$18:$B$20,2,),),"")</f>
        <v>0</v>
      </c>
    </row>
    <row r="38" spans="3:7">
      <c r="F38" s="1" t="s">
        <v>29</v>
      </c>
      <c r="G38" s="31">
        <f>SUM(G33:G37)</f>
        <v>0</v>
      </c>
    </row>
    <row r="39" spans="3:7" ht="23">
      <c r="C39" s="42"/>
      <c r="D39" s="42"/>
      <c r="E39" s="42"/>
      <c r="F39" s="42"/>
    </row>
    <row r="40" spans="3:7" ht="23">
      <c r="C40" s="37"/>
      <c r="D40" s="39" t="s">
        <v>116</v>
      </c>
      <c r="E40" s="40">
        <f>COUNTIF(G25:G29,"&gt;=0.01")+COUNTIF(G33:G37,"&gt;=0.01")</f>
        <v>0</v>
      </c>
      <c r="F40" s="37" t="s">
        <v>117</v>
      </c>
    </row>
    <row r="41" spans="3:7" ht="23">
      <c r="C41" s="39"/>
      <c r="D41" s="39" t="s">
        <v>124</v>
      </c>
      <c r="E41" s="41">
        <f>(G30+G38)*100</f>
        <v>0</v>
      </c>
      <c r="F41" s="37" t="s">
        <v>0</v>
      </c>
    </row>
    <row r="42" spans="3:7">
      <c r="E42" s="1" t="str">
        <f>IF($E$40&gt;7,"編成カードの枚数が多すぎます","")</f>
        <v/>
      </c>
    </row>
  </sheetData>
  <sheetProtection sheet="1" objects="1" scenarios="1"/>
  <mergeCells count="4">
    <mergeCell ref="D2:E2"/>
    <mergeCell ref="D10:E10"/>
    <mergeCell ref="D24:E24"/>
    <mergeCell ref="D32:E32"/>
  </mergeCells>
  <phoneticPr fontId="1"/>
  <conditionalFormatting sqref="E3:E7">
    <cfRule type="expression" dxfId="9" priority="8">
      <formula>F3="枚"</formula>
    </cfRule>
  </conditionalFormatting>
  <conditionalFormatting sqref="E11:E15">
    <cfRule type="expression" dxfId="8" priority="7">
      <formula>F11="枚"</formula>
    </cfRule>
  </conditionalFormatting>
  <conditionalFormatting sqref="E18">
    <cfRule type="cellIs" dxfId="7" priority="6" operator="greaterThan">
      <formula>7</formula>
    </cfRule>
  </conditionalFormatting>
  <conditionalFormatting sqref="E25:E29">
    <cfRule type="expression" dxfId="6" priority="5">
      <formula>F25="枚"</formula>
    </cfRule>
  </conditionalFormatting>
  <conditionalFormatting sqref="E33:E37">
    <cfRule type="expression" dxfId="5" priority="4">
      <formula>F33="枚"</formula>
    </cfRule>
  </conditionalFormatting>
  <conditionalFormatting sqref="E40">
    <cfRule type="cellIs" dxfId="4" priority="3" operator="greaterThan">
      <formula>7</formula>
    </cfRule>
  </conditionalFormatting>
  <conditionalFormatting sqref="E19">
    <cfRule type="expression" dxfId="3" priority="2">
      <formula>$E$18&gt;7</formula>
    </cfRule>
  </conditionalFormatting>
  <conditionalFormatting sqref="E41">
    <cfRule type="expression" dxfId="2" priority="1">
      <formula>$E$40&gt;7</formula>
    </cfRule>
  </conditionalFormatting>
  <dataValidations count="2">
    <dataValidation errorStyle="warning" allowBlank="1" showInputMessage="1" showErrorMessage="1" errorTitle="ライブに編成できるカードは最大7枚です" sqref="E18 E40" xr:uid="{3D195D21-0336-2649-BC8A-958C8196E933}"/>
    <dataValidation type="whole" imeMode="halfAlpha" allowBlank="1" showInputMessage="1" showErrorMessage="1" errorTitle="カード1種につき最大5枚です" sqref="E3:E7 E11:E15 E25:E29 E33:E37" xr:uid="{E6E6BF1B-CCA5-D942-A8F4-3BB6704CF6B6}">
      <formula1>0</formula1>
      <formula2>5</formula2>
    </dataValidation>
  </dataValidations>
  <pageMargins left="0.7" right="0.7" top="0.75" bottom="0.75" header="0.3" footer="0.3"/>
  <pageSetup paperSize="9" scale="42" orientation="portrait" horizontalDpi="0" verticalDpi="0"/>
  <extLst>
    <ext xmlns:x14="http://schemas.microsoft.com/office/spreadsheetml/2009/9/main" uri="{CCE6A557-97BC-4b89-ADB6-D9C93CAAB3DF}">
      <x14:dataValidations xmlns:xm="http://schemas.microsoft.com/office/excel/2006/main" count="1">
        <x14:dataValidation type="list" allowBlank="1" showInputMessage="1" showErrorMessage="1" xr:uid="{80EADC9C-FE61-9642-A510-8E93399F3E6B}">
          <x14:formula1>
            <xm:f>特効計算用!$A$4:$A$7</xm:f>
          </x14:formula1>
          <xm:sqref>D2:E2 D10:E10 D24:E24 D32:E32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4CADE-F435-B045-ACEF-5B04FDA71E3A}">
  <dimension ref="B1:G43"/>
  <sheetViews>
    <sheetView zoomScaleNormal="100" workbookViewId="0"/>
  </sheetViews>
  <sheetFormatPr baseColWidth="10" defaultRowHeight="20"/>
  <cols>
    <col min="1" max="1" width="10.7109375" style="14"/>
    <col min="2" max="2" width="26" style="14" customWidth="1"/>
    <col min="3" max="5" width="12.7109375" style="14" customWidth="1"/>
    <col min="6" max="6" width="15.42578125" style="14" customWidth="1"/>
    <col min="7" max="7" width="21.5703125" style="14" customWidth="1"/>
    <col min="8" max="8" width="79.5703125" style="14" customWidth="1"/>
    <col min="9" max="16384" width="10.7109375" style="14"/>
  </cols>
  <sheetData>
    <row r="1" spans="2:6">
      <c r="B1" s="14" t="s">
        <v>55</v>
      </c>
    </row>
    <row r="3" spans="2:6">
      <c r="B3" s="14" t="s">
        <v>3</v>
      </c>
      <c r="D3" s="11"/>
      <c r="E3" s="14" t="s">
        <v>4</v>
      </c>
    </row>
    <row r="5" spans="2:6">
      <c r="B5" s="14" t="s">
        <v>61</v>
      </c>
      <c r="C5" s="14" t="s">
        <v>62</v>
      </c>
      <c r="D5" s="11"/>
      <c r="E5" s="14" t="s">
        <v>2</v>
      </c>
    </row>
    <row r="6" spans="2:6">
      <c r="C6" s="14" t="s">
        <v>63</v>
      </c>
      <c r="D6" s="11"/>
      <c r="E6" s="14" t="s">
        <v>2</v>
      </c>
    </row>
    <row r="7" spans="2:6">
      <c r="D7" s="32"/>
    </row>
    <row r="8" spans="2:6">
      <c r="B8" s="14" t="s">
        <v>76</v>
      </c>
      <c r="D8" s="11">
        <v>100</v>
      </c>
      <c r="E8" s="14" t="s">
        <v>0</v>
      </c>
    </row>
    <row r="9" spans="2:6" ht="21" thickBot="1"/>
    <row r="10" spans="2:6" ht="21" thickBot="1">
      <c r="B10" s="15" t="s">
        <v>64</v>
      </c>
      <c r="D10" s="29"/>
      <c r="E10" s="14" t="s">
        <v>0</v>
      </c>
      <c r="F10" s="14" t="s">
        <v>52</v>
      </c>
    </row>
    <row r="11" spans="2:6">
      <c r="B11" s="15"/>
      <c r="C11" s="14" t="s">
        <v>30</v>
      </c>
      <c r="D11" s="16">
        <f>IF(ISNUMBER(D10)*1,D10/100,特効計算!E19/100)</f>
        <v>0</v>
      </c>
    </row>
    <row r="12" spans="2:6">
      <c r="D12" s="14" t="str">
        <f>IF(特効計算!E18&gt;7,"特効編成を見直してください","")</f>
        <v/>
      </c>
    </row>
    <row r="13" spans="2:6" ht="21" thickBot="1"/>
    <row r="14" spans="2:6" ht="21" thickBot="1">
      <c r="B14" s="15" t="s">
        <v>65</v>
      </c>
      <c r="D14" s="29"/>
      <c r="E14" s="14" t="s">
        <v>0</v>
      </c>
      <c r="F14" s="14" t="s">
        <v>52</v>
      </c>
    </row>
    <row r="15" spans="2:6">
      <c r="B15" s="15"/>
      <c r="C15" s="14" t="s">
        <v>30</v>
      </c>
      <c r="D15" s="16">
        <f>IF(ISNUMBER(D14)*1,D14/100,特効計算!E41/100)</f>
        <v>0</v>
      </c>
    </row>
    <row r="16" spans="2:6">
      <c r="B16" s="15"/>
      <c r="D16" s="16" t="str">
        <f>IF(特効計算!E40&gt;7,"特効編成を見直してください","")</f>
        <v/>
      </c>
    </row>
    <row r="18" spans="2:7">
      <c r="B18" s="14" t="s">
        <v>6</v>
      </c>
      <c r="C18" s="14" t="s">
        <v>59</v>
      </c>
      <c r="D18" s="11"/>
      <c r="E18" s="14" t="s">
        <v>8</v>
      </c>
    </row>
    <row r="19" spans="2:7">
      <c r="C19" s="14" t="s">
        <v>60</v>
      </c>
      <c r="D19" s="11"/>
      <c r="E19" s="14" t="s">
        <v>8</v>
      </c>
    </row>
    <row r="21" spans="2:7">
      <c r="B21" s="14" t="s">
        <v>66</v>
      </c>
      <c r="D21" s="17">
        <f>IFERROR(ROUNDUP(D3*10000/ツアイベ計算!D19,0),)</f>
        <v>0</v>
      </c>
      <c r="E21" s="14" t="s">
        <v>82</v>
      </c>
    </row>
    <row r="23" spans="2:7">
      <c r="B23" s="14" t="s">
        <v>67</v>
      </c>
      <c r="D23" s="18">
        <f>IFERROR(D21*4*3/60,)</f>
        <v>0</v>
      </c>
      <c r="E23" s="14" t="s">
        <v>23</v>
      </c>
      <c r="G23" s="19"/>
    </row>
    <row r="24" spans="2:7">
      <c r="G24" s="19"/>
    </row>
    <row r="25" spans="2:7">
      <c r="B25" s="14" t="s">
        <v>58</v>
      </c>
      <c r="D25" s="20">
        <f>ROUNDUP(D21*ツアイベ計算!D18,0)</f>
        <v>0</v>
      </c>
      <c r="E25" s="14" t="s">
        <v>8</v>
      </c>
    </row>
    <row r="26" spans="2:7">
      <c r="B26" s="14" t="s">
        <v>68</v>
      </c>
      <c r="D26" s="21">
        <f>IFERROR(ROUNDUP(D3*10000/ツアイベ計算!G19,0)*ツアイベ計算!D18,)</f>
        <v>0</v>
      </c>
      <c r="E26" s="14" t="s">
        <v>8</v>
      </c>
    </row>
    <row r="28" spans="2:7">
      <c r="B28" s="14" t="s">
        <v>32</v>
      </c>
      <c r="D28" s="11">
        <v>40</v>
      </c>
      <c r="E28" s="14" t="s">
        <v>8</v>
      </c>
    </row>
    <row r="29" spans="2:7">
      <c r="B29" s="14" t="s">
        <v>11</v>
      </c>
      <c r="D29" s="11"/>
      <c r="E29" s="14" t="s">
        <v>5</v>
      </c>
    </row>
    <row r="30" spans="2:7">
      <c r="B30" s="22" t="s">
        <v>12</v>
      </c>
      <c r="D30" s="11"/>
      <c r="E30" s="14" t="s">
        <v>5</v>
      </c>
    </row>
    <row r="31" spans="2:7">
      <c r="B31" s="14" t="s">
        <v>13</v>
      </c>
      <c r="D31" s="11"/>
      <c r="E31" s="14" t="s">
        <v>5</v>
      </c>
    </row>
    <row r="32" spans="2:7">
      <c r="B32" s="14" t="s">
        <v>7</v>
      </c>
      <c r="C32" s="23" t="s">
        <v>14</v>
      </c>
      <c r="D32" s="20">
        <f>(D25*2)-(D28*2*8)-(D29*2)-D30-D31</f>
        <v>-640</v>
      </c>
      <c r="E32" s="14" t="s">
        <v>5</v>
      </c>
    </row>
    <row r="33" spans="2:7">
      <c r="B33" s="22"/>
    </row>
    <row r="38" spans="2:7">
      <c r="B38" s="24" t="s">
        <v>24</v>
      </c>
    </row>
    <row r="39" spans="2:7">
      <c r="B39" s="14" t="s">
        <v>25</v>
      </c>
      <c r="D39" s="14">
        <f>MAX(ROUNDDOWN((D26-D25)*2/35,0),0)</f>
        <v>0</v>
      </c>
      <c r="E39" s="14" t="s">
        <v>40</v>
      </c>
    </row>
    <row r="41" spans="2:7">
      <c r="B41" s="14" t="s">
        <v>39</v>
      </c>
      <c r="D41" s="26">
        <f>IFERROR(D21*VLOOKUP(D18,ツアイベ計算!B1:C4,2,0)*3+D21*VLOOKUP(D19,ツアイベ計算!B1:C4,2,0),)</f>
        <v>0</v>
      </c>
      <c r="E41" s="14" t="s">
        <v>38</v>
      </c>
      <c r="G41" s="25"/>
    </row>
    <row r="42" spans="2:7">
      <c r="D42" s="26"/>
      <c r="G42" s="25"/>
    </row>
    <row r="43" spans="2:7">
      <c r="B43" s="14" t="s">
        <v>88</v>
      </c>
      <c r="D43" s="14">
        <f>ROUNDUP(D3/9,0)</f>
        <v>0</v>
      </c>
      <c r="E43" s="14" t="s">
        <v>89</v>
      </c>
      <c r="G43" s="25"/>
    </row>
  </sheetData>
  <sheetProtection sheet="1" objects="1" scenarios="1"/>
  <phoneticPr fontId="1"/>
  <dataValidations count="5">
    <dataValidation type="whole" operator="lessThan" allowBlank="1" showInputMessage="1" showErrorMessage="1" errorTitle="万単位で入力してください" error="入力できるのは999までです" sqref="D7 D7 D5:D6" xr:uid="{6884CCB6-9D74-7B4F-A700-C44F718AE3BD}">
      <formula1>999</formula1>
    </dataValidation>
    <dataValidation type="whole" operator="greaterThan" allowBlank="1" showInputMessage="1" showErrorMessage="1" errorTitle="整数で入力してください" sqref="D3" xr:uid="{9CD23000-2F85-7440-8473-847FB9251E42}">
      <formula1>0</formula1>
    </dataValidation>
    <dataValidation type="whole" allowBlank="1" showInputMessage="1" showErrorMessage="1" errorTitle="整数で入力してください" sqref="D14 D10" xr:uid="{27F915FB-2031-8943-BF70-03298D2F83D3}">
      <formula1>0</formula1>
      <formula2>999</formula2>
    </dataValidation>
    <dataValidation type="whole" operator="lessThan" allowBlank="1" showInputMessage="1" showErrorMessage="1" errorTitle="FEVER値は最大110%です。" sqref="D8" xr:uid="{6F44C28F-A77E-304B-BBD7-066D36CC8BCB}">
      <formula1>110</formula1>
    </dataValidation>
    <dataValidation allowBlank="1" showInputMessage="1" showErrorMessage="1" errorTitle="整数で入力してください" sqref="D11 D15:D16" xr:uid="{20A069B5-953B-0C42-B926-3C5FF278FB54}"/>
  </dataValidations>
  <pageMargins left="0.7" right="0.7" top="0.75" bottom="0.75" header="0.3" footer="0.3"/>
  <drawing r:id="rId1"/>
  <legacyDrawing r:id="rId2"/>
  <extLst>
    <ext xmlns:x14="http://schemas.microsoft.com/office/spreadsheetml/2009/9/main" uri="{78C0D931-6437-407d-A8EE-F0AAD7539E65}">
      <x14:conditionalFormattings>
        <x14:conditionalFormatting xmlns:xm="http://schemas.microsoft.com/office/excel/2006/main">
          <x14:cfRule type="expression" priority="2" id="{E7B08C06-D60D-2249-94EA-BA8E17F86656}">
            <xm:f>特効計算!$E$18&gt;7</xm:f>
            <x14:dxf>
              <font>
                <b/>
                <i val="0"/>
                <color rgb="FF9C0006"/>
              </font>
              <fill>
                <patternFill patternType="none">
                  <bgColor auto="1"/>
                </patternFill>
              </fill>
            </x14:dxf>
          </x14:cfRule>
          <xm:sqref>D11:D12</xm:sqref>
        </x14:conditionalFormatting>
        <x14:conditionalFormatting xmlns:xm="http://schemas.microsoft.com/office/excel/2006/main">
          <x14:cfRule type="expression" priority="1" id="{50C40E06-D430-934A-AEFD-D029FA4C8C84}">
            <xm:f>特効計算!$E$40&gt;7</xm:f>
            <x14:dxf>
              <font>
                <b/>
                <i val="0"/>
                <color rgb="FF9C0006"/>
              </font>
              <fill>
                <patternFill patternType="none">
                  <bgColor auto="1"/>
                </patternFill>
              </fill>
            </x14:dxf>
          </x14:cfRule>
          <xm:sqref>D15:D16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87D4075E-5F4F-C24F-A8AA-0D7653AF40EF}">
          <x14:formula1>
            <xm:f>ツアイベ計算!$B$2:$B$4</xm:f>
          </x14:formula1>
          <xm:sqref>D18:D19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8A81B-7F70-7D49-AE18-C6CCD59ECA01}">
  <dimension ref="B2:K7"/>
  <sheetViews>
    <sheetView zoomScaleNormal="100" workbookViewId="0"/>
  </sheetViews>
  <sheetFormatPr baseColWidth="10" defaultRowHeight="20"/>
  <cols>
    <col min="1" max="1" width="10.7109375" style="1"/>
    <col min="2" max="2" width="14.7109375" style="1" customWidth="1"/>
    <col min="3" max="16384" width="10.7109375" style="1"/>
  </cols>
  <sheetData>
    <row r="2" spans="2:11">
      <c r="B2" s="1" t="s">
        <v>128</v>
      </c>
      <c r="C2" s="43"/>
      <c r="D2" s="1" t="s">
        <v>129</v>
      </c>
    </row>
    <row r="3" spans="2:11">
      <c r="K3" s="44" t="s">
        <v>130</v>
      </c>
    </row>
    <row r="4" spans="2:11">
      <c r="B4" s="5"/>
      <c r="C4" s="45">
        <f ca="1">IF(C2="",TODAY(),C2)</f>
        <v>45517</v>
      </c>
      <c r="D4" s="45">
        <f ca="1">C4+1</f>
        <v>45518</v>
      </c>
      <c r="E4" s="45">
        <f t="shared" ref="E4:K4" ca="1" si="0">D4+1</f>
        <v>45519</v>
      </c>
      <c r="F4" s="45">
        <f t="shared" ca="1" si="0"/>
        <v>45520</v>
      </c>
      <c r="G4" s="45">
        <f t="shared" ca="1" si="0"/>
        <v>45521</v>
      </c>
      <c r="H4" s="45">
        <f t="shared" ca="1" si="0"/>
        <v>45522</v>
      </c>
      <c r="I4" s="45">
        <f t="shared" ca="1" si="0"/>
        <v>45523</v>
      </c>
      <c r="J4" s="45">
        <f t="shared" ca="1" si="0"/>
        <v>45524</v>
      </c>
      <c r="K4" s="45">
        <f t="shared" ca="1" si="0"/>
        <v>45525</v>
      </c>
    </row>
    <row r="5" spans="2:11">
      <c r="B5" s="5" t="s">
        <v>131</v>
      </c>
      <c r="C5" s="46">
        <f>ツアーイベント!$D$3*1/9</f>
        <v>0</v>
      </c>
      <c r="D5" s="46">
        <f>ツアーイベント!$D$3*2/9</f>
        <v>0</v>
      </c>
      <c r="E5" s="46">
        <f>ツアーイベント!$D$3*3/9</f>
        <v>0</v>
      </c>
      <c r="F5" s="46">
        <f>ツアーイベント!$D$3*4/9</f>
        <v>0</v>
      </c>
      <c r="G5" s="46">
        <f>ツアーイベント!$D$3*5/9</f>
        <v>0</v>
      </c>
      <c r="H5" s="46">
        <f>ツアーイベント!$D$3*6/9</f>
        <v>0</v>
      </c>
      <c r="I5" s="46">
        <f>ツアーイベント!$D$3*7/9</f>
        <v>0</v>
      </c>
      <c r="J5" s="46">
        <f>ツアーイベント!$D$3*8/9</f>
        <v>0</v>
      </c>
      <c r="K5" s="46">
        <f>ツアーイベント!$D$3*9/9</f>
        <v>0</v>
      </c>
    </row>
    <row r="6" spans="2:11">
      <c r="B6" s="5" t="s">
        <v>132</v>
      </c>
      <c r="C6" s="47"/>
      <c r="D6" s="47"/>
      <c r="E6" s="47"/>
      <c r="F6" s="47"/>
      <c r="G6" s="47"/>
      <c r="H6" s="47"/>
      <c r="I6" s="47"/>
      <c r="J6" s="47"/>
      <c r="K6" s="47"/>
    </row>
    <row r="7" spans="2:11">
      <c r="B7" s="5" t="s">
        <v>133</v>
      </c>
      <c r="C7" s="48">
        <f>C6-C5</f>
        <v>0</v>
      </c>
      <c r="D7" s="48">
        <f t="shared" ref="D7:K7" si="1">D6-D5</f>
        <v>0</v>
      </c>
      <c r="E7" s="48">
        <f t="shared" si="1"/>
        <v>0</v>
      </c>
      <c r="F7" s="48">
        <f t="shared" si="1"/>
        <v>0</v>
      </c>
      <c r="G7" s="48">
        <f t="shared" si="1"/>
        <v>0</v>
      </c>
      <c r="H7" s="48">
        <f t="shared" si="1"/>
        <v>0</v>
      </c>
      <c r="I7" s="48">
        <f t="shared" si="1"/>
        <v>0</v>
      </c>
      <c r="J7" s="48">
        <f t="shared" si="1"/>
        <v>0</v>
      </c>
      <c r="K7" s="48">
        <f t="shared" si="1"/>
        <v>0</v>
      </c>
    </row>
  </sheetData>
  <sheetProtection sheet="1" objects="1" scenarios="1"/>
  <phoneticPr fontId="1"/>
  <dataValidations count="2">
    <dataValidation imeMode="halfAlpha" allowBlank="1" showInputMessage="1" showErrorMessage="1" sqref="C6:K6" xr:uid="{7B697D47-8826-9849-8C2D-B1E33EF691DF}"/>
    <dataValidation type="date" imeMode="disabled" allowBlank="1" showInputMessage="1" showErrorMessage="1" errorTitle="イベント開始日を入力してください" sqref="C2" xr:uid="{95C9C9B0-BA26-974B-AB67-97EC1A29630D}">
      <formula1>43831</formula1>
      <formula2>73050</formula2>
    </dataValidation>
  </dataValidations>
  <pageMargins left="0.7" right="0.7" top="0.75" bottom="0.75" header="0.3" footer="0.3"/>
  <pageSetup paperSize="9" scale="57" orientation="portrait"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CCA91-A07E-984E-8D08-004AD55AD19C}">
  <dimension ref="A2:G40"/>
  <sheetViews>
    <sheetView workbookViewId="0"/>
  </sheetViews>
  <sheetFormatPr baseColWidth="10" defaultRowHeight="20"/>
  <cols>
    <col min="1" max="1" width="10.7109375" style="1"/>
    <col min="2" max="5" width="15" style="1" customWidth="1"/>
    <col min="6" max="16384" width="10.7109375" style="1"/>
  </cols>
  <sheetData>
    <row r="2" spans="2:5">
      <c r="B2" s="33" t="s">
        <v>90</v>
      </c>
    </row>
    <row r="3" spans="2:5">
      <c r="B3" s="7" t="s">
        <v>15</v>
      </c>
      <c r="C3" s="7" t="s">
        <v>18</v>
      </c>
      <c r="D3" s="7" t="s">
        <v>17</v>
      </c>
      <c r="E3" s="7" t="s">
        <v>16</v>
      </c>
    </row>
    <row r="4" spans="2:5">
      <c r="B4" s="3" t="s">
        <v>9</v>
      </c>
      <c r="C4" s="4">
        <v>0.2</v>
      </c>
      <c r="D4" s="4">
        <v>0.05</v>
      </c>
      <c r="E4" s="4">
        <v>0.01</v>
      </c>
    </row>
    <row r="5" spans="2:5">
      <c r="B5" s="3" t="s">
        <v>19</v>
      </c>
      <c r="C5" s="4">
        <v>0.5</v>
      </c>
      <c r="D5" s="4">
        <v>0.15</v>
      </c>
      <c r="E5" s="4">
        <v>0.02</v>
      </c>
    </row>
    <row r="6" spans="2:5">
      <c r="B6" s="3" t="s">
        <v>20</v>
      </c>
      <c r="C6" s="4">
        <v>0.75</v>
      </c>
      <c r="D6" s="4">
        <v>0.25</v>
      </c>
      <c r="E6" s="4">
        <v>0.03</v>
      </c>
    </row>
    <row r="7" spans="2:5">
      <c r="B7" s="3" t="s">
        <v>21</v>
      </c>
      <c r="C7" s="4">
        <v>1</v>
      </c>
      <c r="D7" s="4">
        <v>0.35</v>
      </c>
      <c r="E7" s="4">
        <v>0.04</v>
      </c>
    </row>
    <row r="8" spans="2:5">
      <c r="B8" s="3" t="s">
        <v>10</v>
      </c>
      <c r="C8" s="4">
        <v>1.5</v>
      </c>
      <c r="D8" s="4">
        <v>0.5</v>
      </c>
      <c r="E8" s="4">
        <v>0.05</v>
      </c>
    </row>
    <row r="9" spans="2:5">
      <c r="B9" s="34" t="s">
        <v>91</v>
      </c>
    </row>
    <row r="10" spans="2:5">
      <c r="B10" s="2"/>
    </row>
    <row r="12" spans="2:5">
      <c r="B12" s="33" t="s">
        <v>92</v>
      </c>
    </row>
    <row r="13" spans="2:5">
      <c r="B13" s="7" t="s">
        <v>15</v>
      </c>
      <c r="C13" s="7" t="s">
        <v>18</v>
      </c>
      <c r="D13" s="7" t="s">
        <v>17</v>
      </c>
    </row>
    <row r="14" spans="2:5">
      <c r="B14" s="3" t="s">
        <v>9</v>
      </c>
      <c r="C14" s="4">
        <v>0.2</v>
      </c>
      <c r="D14" s="4">
        <v>7.0000000000000007E-2</v>
      </c>
    </row>
    <row r="15" spans="2:5">
      <c r="B15" s="3" t="s">
        <v>19</v>
      </c>
      <c r="C15" s="4">
        <v>0.5</v>
      </c>
      <c r="D15" s="4">
        <v>0.2</v>
      </c>
    </row>
    <row r="16" spans="2:5">
      <c r="B16" s="3" t="s">
        <v>20</v>
      </c>
      <c r="C16" s="4">
        <v>0.75</v>
      </c>
      <c r="D16" s="4">
        <v>0.3</v>
      </c>
    </row>
    <row r="17" spans="1:7">
      <c r="B17" s="3" t="s">
        <v>21</v>
      </c>
      <c r="C17" s="4">
        <v>1</v>
      </c>
      <c r="D17" s="4">
        <v>0.45</v>
      </c>
    </row>
    <row r="18" spans="1:7">
      <c r="B18" s="3" t="s">
        <v>10</v>
      </c>
      <c r="C18" s="4">
        <v>1.5</v>
      </c>
      <c r="D18" s="4">
        <v>0.6</v>
      </c>
    </row>
    <row r="19" spans="1:7">
      <c r="B19" s="34" t="s">
        <v>93</v>
      </c>
    </row>
    <row r="20" spans="1:7">
      <c r="B20" s="2"/>
    </row>
    <row r="22" spans="1:7">
      <c r="B22" s="33" t="s">
        <v>94</v>
      </c>
    </row>
    <row r="23" spans="1:7">
      <c r="B23" s="8" t="s">
        <v>22</v>
      </c>
      <c r="C23" s="8" t="s">
        <v>18</v>
      </c>
      <c r="D23" s="8" t="s">
        <v>17</v>
      </c>
      <c r="E23" s="7" t="s">
        <v>16</v>
      </c>
    </row>
    <row r="24" spans="1:7">
      <c r="B24" s="5" t="s">
        <v>9</v>
      </c>
      <c r="C24" s="4">
        <v>0.2</v>
      </c>
      <c r="D24" s="6">
        <v>0.04</v>
      </c>
      <c r="E24" s="4">
        <v>0.01</v>
      </c>
    </row>
    <row r="25" spans="1:7">
      <c r="B25" s="5" t="s">
        <v>19</v>
      </c>
      <c r="C25" s="4">
        <v>0.5</v>
      </c>
      <c r="D25" s="6">
        <v>0.11</v>
      </c>
      <c r="E25" s="4">
        <v>0.02</v>
      </c>
    </row>
    <row r="26" spans="1:7">
      <c r="B26" s="5" t="s">
        <v>20</v>
      </c>
      <c r="C26" s="4">
        <v>0.75</v>
      </c>
      <c r="D26" s="6">
        <v>0.18</v>
      </c>
      <c r="E26" s="4">
        <v>0.03</v>
      </c>
    </row>
    <row r="27" spans="1:7">
      <c r="B27" s="5" t="s">
        <v>21</v>
      </c>
      <c r="C27" s="4">
        <v>1</v>
      </c>
      <c r="D27" s="6">
        <v>0.25</v>
      </c>
      <c r="E27" s="4">
        <v>0.04</v>
      </c>
    </row>
    <row r="28" spans="1:7">
      <c r="B28" s="5" t="s">
        <v>10</v>
      </c>
      <c r="C28" s="4">
        <v>1.5</v>
      </c>
      <c r="D28" s="6">
        <v>0.35</v>
      </c>
      <c r="E28" s="4">
        <v>0.05</v>
      </c>
    </row>
    <row r="29" spans="1:7">
      <c r="A29" s="9"/>
      <c r="B29" s="34" t="s">
        <v>95</v>
      </c>
    </row>
    <row r="30" spans="1:7">
      <c r="A30" s="9"/>
    </row>
    <row r="32" spans="1:7">
      <c r="B32" s="33" t="s">
        <v>96</v>
      </c>
      <c r="G32" s="9"/>
    </row>
    <row r="33" spans="1:4">
      <c r="B33" s="8" t="s">
        <v>22</v>
      </c>
      <c r="C33" s="8" t="s">
        <v>18</v>
      </c>
      <c r="D33" s="8" t="s">
        <v>17</v>
      </c>
    </row>
    <row r="34" spans="1:4">
      <c r="B34" s="5" t="s">
        <v>9</v>
      </c>
      <c r="C34" s="6">
        <v>0.15</v>
      </c>
      <c r="D34" s="6">
        <v>0.04</v>
      </c>
    </row>
    <row r="35" spans="1:4">
      <c r="B35" s="5" t="s">
        <v>19</v>
      </c>
      <c r="C35" s="6">
        <v>0.35</v>
      </c>
      <c r="D35" s="6">
        <v>0.11</v>
      </c>
    </row>
    <row r="36" spans="1:4">
      <c r="B36" s="5" t="s">
        <v>20</v>
      </c>
      <c r="C36" s="6">
        <v>0.5</v>
      </c>
      <c r="D36" s="6">
        <v>0.18</v>
      </c>
    </row>
    <row r="37" spans="1:4">
      <c r="B37" s="5" t="s">
        <v>21</v>
      </c>
      <c r="C37" s="6">
        <v>0.7</v>
      </c>
      <c r="D37" s="6">
        <v>0.25</v>
      </c>
    </row>
    <row r="38" spans="1:4">
      <c r="B38" s="5" t="s">
        <v>10</v>
      </c>
      <c r="C38" s="6">
        <v>1</v>
      </c>
      <c r="D38" s="6">
        <v>0.35</v>
      </c>
    </row>
    <row r="39" spans="1:4">
      <c r="A39" s="9"/>
      <c r="B39" s="34" t="s">
        <v>97</v>
      </c>
    </row>
    <row r="40" spans="1:4">
      <c r="A40" s="9"/>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B30A1-0AB1-CC49-870D-A5BAD82709DA}">
  <dimension ref="A4:K32"/>
  <sheetViews>
    <sheetView workbookViewId="0">
      <selection activeCell="F31" sqref="F31"/>
    </sheetView>
  </sheetViews>
  <sheetFormatPr baseColWidth="10" defaultRowHeight="20"/>
  <cols>
    <col min="1" max="1" width="19.85546875" style="1" customWidth="1"/>
    <col min="2" max="11" width="8.7109375" style="1" customWidth="1"/>
    <col min="12" max="16384" width="10.7109375" style="1"/>
  </cols>
  <sheetData>
    <row r="4" spans="1:11">
      <c r="A4" s="1" t="s">
        <v>90</v>
      </c>
      <c r="B4" s="1" t="s">
        <v>26</v>
      </c>
      <c r="C4" s="1" t="s">
        <v>27</v>
      </c>
      <c r="D4" s="1" t="s">
        <v>28</v>
      </c>
      <c r="E4" s="1" t="s">
        <v>28</v>
      </c>
      <c r="F4" s="1" t="s">
        <v>28</v>
      </c>
      <c r="H4" s="1">
        <f>MATCH(A4,$A$9:$K$9,0)</f>
        <v>2</v>
      </c>
    </row>
    <row r="5" spans="1:11">
      <c r="A5" s="1" t="s">
        <v>92</v>
      </c>
      <c r="B5" s="1" t="s">
        <v>26</v>
      </c>
      <c r="C5" s="1" t="s">
        <v>27</v>
      </c>
      <c r="H5" s="1">
        <f t="shared" ref="H5:H7" si="0">MATCH(A5,$A$9:$K$9,0)</f>
        <v>5</v>
      </c>
    </row>
    <row r="6" spans="1:11">
      <c r="A6" s="1" t="s">
        <v>98</v>
      </c>
      <c r="B6" s="1" t="s">
        <v>26</v>
      </c>
      <c r="C6" s="1" t="s">
        <v>27</v>
      </c>
      <c r="D6" s="1" t="s">
        <v>27</v>
      </c>
      <c r="E6" s="1" t="s">
        <v>28</v>
      </c>
      <c r="H6" s="1">
        <f t="shared" si="0"/>
        <v>7</v>
      </c>
    </row>
    <row r="7" spans="1:11">
      <c r="A7" s="1" t="s">
        <v>99</v>
      </c>
      <c r="B7" s="1" t="s">
        <v>26</v>
      </c>
      <c r="C7" s="1" t="s">
        <v>26</v>
      </c>
      <c r="D7" s="1" t="s">
        <v>27</v>
      </c>
      <c r="E7" s="1" t="s">
        <v>27</v>
      </c>
      <c r="H7" s="1">
        <f t="shared" si="0"/>
        <v>10</v>
      </c>
    </row>
    <row r="9" spans="1:11">
      <c r="B9" s="35" t="s">
        <v>90</v>
      </c>
      <c r="C9" s="35"/>
      <c r="D9" s="35"/>
      <c r="E9" s="35" t="s">
        <v>92</v>
      </c>
      <c r="F9" s="35"/>
      <c r="G9" s="35" t="s">
        <v>100</v>
      </c>
      <c r="H9" s="35"/>
      <c r="I9" s="35"/>
      <c r="J9" s="35" t="s">
        <v>101</v>
      </c>
      <c r="K9" s="35"/>
    </row>
    <row r="10" spans="1:11">
      <c r="B10" s="1" t="s">
        <v>26</v>
      </c>
      <c r="C10" s="1" t="s">
        <v>27</v>
      </c>
      <c r="D10" s="1" t="s">
        <v>28</v>
      </c>
      <c r="E10" s="1" t="s">
        <v>26</v>
      </c>
      <c r="F10" s="1" t="s">
        <v>27</v>
      </c>
      <c r="G10" s="1" t="s">
        <v>26</v>
      </c>
      <c r="H10" s="1" t="s">
        <v>27</v>
      </c>
      <c r="I10" s="1" t="s">
        <v>28</v>
      </c>
      <c r="J10" s="1" t="s">
        <v>26</v>
      </c>
      <c r="K10" s="1" t="s">
        <v>27</v>
      </c>
    </row>
    <row r="11" spans="1:11">
      <c r="A11" s="1">
        <v>0</v>
      </c>
      <c r="B11" s="31">
        <v>0</v>
      </c>
      <c r="C11" s="31">
        <v>0</v>
      </c>
      <c r="D11" s="31">
        <v>0</v>
      </c>
      <c r="E11" s="31">
        <v>0</v>
      </c>
      <c r="F11" s="31">
        <v>0</v>
      </c>
      <c r="G11" s="31">
        <v>0</v>
      </c>
      <c r="H11" s="31">
        <v>0</v>
      </c>
      <c r="I11" s="31">
        <v>0</v>
      </c>
      <c r="J11" s="31">
        <v>0</v>
      </c>
      <c r="K11" s="31">
        <v>0</v>
      </c>
    </row>
    <row r="12" spans="1:11">
      <c r="A12" s="1">
        <v>1</v>
      </c>
      <c r="B12" s="31">
        <v>0.2</v>
      </c>
      <c r="C12" s="31">
        <v>0.05</v>
      </c>
      <c r="D12" s="31">
        <v>0.01</v>
      </c>
      <c r="E12" s="31">
        <v>0.2</v>
      </c>
      <c r="F12" s="31">
        <v>7.0000000000000007E-2</v>
      </c>
      <c r="G12" s="31">
        <v>0.2</v>
      </c>
      <c r="H12" s="31">
        <v>0.04</v>
      </c>
      <c r="I12" s="31">
        <v>0.01</v>
      </c>
      <c r="J12" s="31">
        <v>0.15</v>
      </c>
      <c r="K12" s="31">
        <v>0.04</v>
      </c>
    </row>
    <row r="13" spans="1:11">
      <c r="A13" s="1">
        <v>2</v>
      </c>
      <c r="B13" s="31">
        <v>0.5</v>
      </c>
      <c r="C13" s="31">
        <v>0.15</v>
      </c>
      <c r="D13" s="31">
        <v>0.02</v>
      </c>
      <c r="E13" s="31">
        <v>0.5</v>
      </c>
      <c r="F13" s="31">
        <v>0.2</v>
      </c>
      <c r="G13" s="31">
        <v>0.5</v>
      </c>
      <c r="H13" s="31">
        <v>0.11</v>
      </c>
      <c r="I13" s="31">
        <v>0.02</v>
      </c>
      <c r="J13" s="31">
        <v>0.35</v>
      </c>
      <c r="K13" s="31">
        <v>0.11</v>
      </c>
    </row>
    <row r="14" spans="1:11">
      <c r="A14" s="1">
        <v>3</v>
      </c>
      <c r="B14" s="31">
        <v>0.75</v>
      </c>
      <c r="C14" s="31">
        <v>0.25</v>
      </c>
      <c r="D14" s="31">
        <v>0.03</v>
      </c>
      <c r="E14" s="31">
        <v>0.75</v>
      </c>
      <c r="F14" s="31">
        <v>0.3</v>
      </c>
      <c r="G14" s="31">
        <v>0.75</v>
      </c>
      <c r="H14" s="31">
        <v>0.18</v>
      </c>
      <c r="I14" s="31">
        <v>0.03</v>
      </c>
      <c r="J14" s="31">
        <v>0.5</v>
      </c>
      <c r="K14" s="31">
        <v>0.18</v>
      </c>
    </row>
    <row r="15" spans="1:11">
      <c r="A15" s="1">
        <v>4</v>
      </c>
      <c r="B15" s="31">
        <v>1</v>
      </c>
      <c r="C15" s="31">
        <v>0.35</v>
      </c>
      <c r="D15" s="31">
        <v>0.04</v>
      </c>
      <c r="E15" s="31">
        <v>1</v>
      </c>
      <c r="F15" s="31">
        <v>0.45</v>
      </c>
      <c r="G15" s="31">
        <v>1</v>
      </c>
      <c r="H15" s="31">
        <v>0.25</v>
      </c>
      <c r="I15" s="31">
        <v>0.04</v>
      </c>
      <c r="J15" s="31">
        <v>0.7</v>
      </c>
      <c r="K15" s="31">
        <v>0.25</v>
      </c>
    </row>
    <row r="16" spans="1:11">
      <c r="A16" s="1">
        <v>5</v>
      </c>
      <c r="B16" s="31">
        <v>1.5</v>
      </c>
      <c r="C16" s="31">
        <v>0.5</v>
      </c>
      <c r="D16" s="31">
        <v>0.05</v>
      </c>
      <c r="E16" s="31">
        <v>1.5</v>
      </c>
      <c r="F16" s="31">
        <v>0.6</v>
      </c>
      <c r="G16" s="31">
        <v>1.5</v>
      </c>
      <c r="H16" s="31">
        <v>0.35</v>
      </c>
      <c r="I16" s="31">
        <v>0.05</v>
      </c>
      <c r="J16" s="31">
        <v>1</v>
      </c>
      <c r="K16" s="31">
        <v>0.35</v>
      </c>
    </row>
    <row r="18" spans="1:11">
      <c r="A18" s="1" t="s">
        <v>26</v>
      </c>
      <c r="B18" s="36">
        <v>0</v>
      </c>
      <c r="C18" s="36"/>
      <c r="D18" s="36"/>
      <c r="E18" s="36"/>
      <c r="F18" s="36"/>
      <c r="G18" s="36"/>
      <c r="H18" s="36"/>
      <c r="I18" s="36"/>
      <c r="J18" s="36"/>
      <c r="K18" s="36"/>
    </row>
    <row r="19" spans="1:11">
      <c r="A19" s="1" t="s">
        <v>27</v>
      </c>
      <c r="B19" s="36">
        <v>1</v>
      </c>
      <c r="C19" s="36"/>
      <c r="D19" s="36"/>
      <c r="E19" s="36"/>
      <c r="F19" s="36"/>
      <c r="G19" s="36"/>
      <c r="H19" s="36"/>
      <c r="I19" s="36"/>
      <c r="J19" s="36"/>
      <c r="K19" s="36"/>
    </row>
    <row r="20" spans="1:11">
      <c r="A20" s="1" t="s">
        <v>28</v>
      </c>
      <c r="B20" s="36">
        <v>2</v>
      </c>
      <c r="C20" s="36"/>
      <c r="D20" s="36"/>
      <c r="E20" s="36"/>
      <c r="F20" s="36"/>
      <c r="G20" s="36"/>
      <c r="H20" s="36"/>
      <c r="I20" s="36"/>
      <c r="J20" s="36"/>
      <c r="K20" s="36"/>
    </row>
    <row r="21" spans="1:11">
      <c r="B21" s="36"/>
      <c r="C21" s="36"/>
      <c r="D21" s="36"/>
      <c r="E21" s="36"/>
      <c r="F21" s="36"/>
      <c r="G21" s="36"/>
      <c r="H21" s="36"/>
      <c r="I21" s="36"/>
      <c r="J21" s="36"/>
      <c r="K21" s="36"/>
    </row>
    <row r="22" spans="1:11">
      <c r="B22" s="36"/>
      <c r="C22" s="36"/>
      <c r="D22" s="36"/>
      <c r="E22" s="36"/>
      <c r="F22" s="36"/>
      <c r="G22" s="36"/>
      <c r="H22" s="36"/>
      <c r="I22" s="36"/>
      <c r="J22" s="36"/>
      <c r="K22" s="36"/>
    </row>
    <row r="23" spans="1:11">
      <c r="B23" s="36"/>
      <c r="C23" s="36"/>
      <c r="D23" s="36"/>
      <c r="E23" s="36"/>
      <c r="F23" s="36"/>
      <c r="G23" s="36"/>
      <c r="H23" s="36"/>
      <c r="I23" s="36"/>
      <c r="J23" s="36"/>
      <c r="K23" s="36"/>
    </row>
    <row r="24" spans="1:11">
      <c r="B24" s="36"/>
      <c r="C24" s="36"/>
      <c r="D24" s="36"/>
      <c r="E24" s="36"/>
      <c r="F24" s="36"/>
      <c r="G24" s="36"/>
      <c r="H24" s="36"/>
      <c r="I24" s="36"/>
      <c r="J24" s="36"/>
      <c r="K24" s="36"/>
    </row>
    <row r="25" spans="1:11">
      <c r="B25" s="36"/>
      <c r="C25" s="36"/>
      <c r="D25" s="36"/>
      <c r="E25" s="36"/>
      <c r="F25" s="36"/>
      <c r="G25" s="36"/>
      <c r="H25" s="36"/>
      <c r="I25" s="36"/>
      <c r="J25" s="36"/>
      <c r="K25" s="36"/>
    </row>
    <row r="26" spans="1:11">
      <c r="B26" s="36"/>
      <c r="C26" s="36"/>
      <c r="D26" s="36"/>
      <c r="E26" s="36"/>
      <c r="F26" s="36"/>
      <c r="G26" s="36"/>
      <c r="H26" s="36"/>
      <c r="I26" s="36"/>
      <c r="J26" s="36"/>
      <c r="K26" s="36"/>
    </row>
    <row r="27" spans="1:11">
      <c r="B27" s="36"/>
      <c r="C27" s="36"/>
      <c r="D27" s="36"/>
      <c r="E27" s="36"/>
      <c r="F27" s="36"/>
      <c r="G27" s="36"/>
      <c r="H27" s="36"/>
      <c r="I27" s="36"/>
      <c r="J27" s="36"/>
      <c r="K27" s="36"/>
    </row>
    <row r="28" spans="1:11">
      <c r="B28" s="36"/>
      <c r="C28" s="36"/>
      <c r="D28" s="36"/>
      <c r="E28" s="36"/>
      <c r="F28" s="36"/>
      <c r="G28" s="36"/>
      <c r="H28" s="36"/>
      <c r="I28" s="36"/>
      <c r="J28" s="36"/>
      <c r="K28" s="36"/>
    </row>
    <row r="29" spans="1:11">
      <c r="B29" s="36"/>
      <c r="C29" s="36"/>
      <c r="D29" s="36"/>
      <c r="E29" s="36"/>
      <c r="F29" s="36"/>
      <c r="G29" s="36"/>
      <c r="H29" s="36"/>
      <c r="I29" s="36"/>
      <c r="J29" s="36"/>
      <c r="K29" s="36"/>
    </row>
    <row r="30" spans="1:11">
      <c r="B30" s="36"/>
      <c r="C30" s="36"/>
      <c r="D30" s="36"/>
      <c r="E30" s="36"/>
      <c r="F30" s="36"/>
      <c r="G30" s="36"/>
      <c r="H30" s="36"/>
      <c r="I30" s="36"/>
      <c r="J30" s="36"/>
      <c r="K30" s="36"/>
    </row>
    <row r="31" spans="1:11">
      <c r="B31" s="36"/>
      <c r="C31" s="36"/>
      <c r="D31" s="36"/>
      <c r="E31" s="36"/>
      <c r="F31" s="36"/>
      <c r="G31" s="36"/>
      <c r="H31" s="36"/>
      <c r="I31" s="36"/>
      <c r="J31" s="36"/>
      <c r="K31" s="36"/>
    </row>
    <row r="32" spans="1:11">
      <c r="B32" s="36"/>
      <c r="C32" s="36"/>
      <c r="D32" s="36"/>
      <c r="E32" s="36"/>
      <c r="F32" s="36"/>
      <c r="G32" s="36"/>
      <c r="H32" s="36"/>
      <c r="I32" s="36"/>
      <c r="J32" s="36"/>
      <c r="K32" s="36"/>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6599A-B10D-0D42-B283-117319B32D51}">
  <dimension ref="A1:H30"/>
  <sheetViews>
    <sheetView topLeftCell="B1" workbookViewId="0">
      <selection activeCell="B1" sqref="B1"/>
    </sheetView>
  </sheetViews>
  <sheetFormatPr baseColWidth="10" defaultRowHeight="20"/>
  <cols>
    <col min="1" max="1" width="23" customWidth="1"/>
    <col min="2" max="3" width="17.42578125" customWidth="1"/>
    <col min="4" max="4" width="17.42578125" style="30" customWidth="1"/>
    <col min="5" max="5" width="13.7109375" customWidth="1"/>
    <col min="6" max="7" width="17.42578125" customWidth="1"/>
  </cols>
  <sheetData>
    <row r="1" spans="1:8" s="1" customFormat="1">
      <c r="B1" s="1" t="s">
        <v>6</v>
      </c>
      <c r="C1" s="1" t="s">
        <v>37</v>
      </c>
      <c r="D1" s="30"/>
    </row>
    <row r="2" spans="1:8">
      <c r="B2">
        <v>3</v>
      </c>
      <c r="C2">
        <v>20</v>
      </c>
    </row>
    <row r="3" spans="1:8">
      <c r="B3">
        <v>6</v>
      </c>
      <c r="C3">
        <v>30</v>
      </c>
    </row>
    <row r="4" spans="1:8">
      <c r="B4">
        <v>10</v>
      </c>
      <c r="C4">
        <v>40</v>
      </c>
    </row>
    <row r="5" spans="1:8" s="1" customFormat="1">
      <c r="D5" s="30"/>
    </row>
    <row r="6" spans="1:8" s="1" customFormat="1">
      <c r="D6" s="30"/>
    </row>
    <row r="7" spans="1:8" s="1" customFormat="1">
      <c r="A7" t="s">
        <v>69</v>
      </c>
      <c r="B7" s="1" t="s">
        <v>70</v>
      </c>
      <c r="D7" s="30">
        <f>2500*ツアーイベント!D18</f>
        <v>0</v>
      </c>
      <c r="E7" s="1" t="s">
        <v>36</v>
      </c>
    </row>
    <row r="8" spans="1:8">
      <c r="B8" t="s">
        <v>1</v>
      </c>
      <c r="D8" s="30">
        <f>ROUNDDOWN(ツアーイベント!D5*10000*0.02%,0)*ツアーイベント!D18</f>
        <v>0</v>
      </c>
      <c r="E8" t="s">
        <v>36</v>
      </c>
    </row>
    <row r="9" spans="1:8">
      <c r="B9" t="s">
        <v>73</v>
      </c>
      <c r="C9" s="31">
        <f>ツアーイベント!D11</f>
        <v>0</v>
      </c>
      <c r="D9" s="30">
        <f>ROUNDDOWN((D7+D8)*ツアーイベント!D11,0)</f>
        <v>0</v>
      </c>
      <c r="E9" t="s">
        <v>36</v>
      </c>
    </row>
    <row r="10" spans="1:8" s="1" customFormat="1">
      <c r="B10" s="1" t="s">
        <v>74</v>
      </c>
      <c r="D10" s="30">
        <f>SUM(D7:D9)</f>
        <v>0</v>
      </c>
      <c r="E10" s="1" t="s">
        <v>36</v>
      </c>
      <c r="F10" t="s">
        <v>80</v>
      </c>
      <c r="G10" s="30">
        <f>D7+D8</f>
        <v>0</v>
      </c>
      <c r="H10" s="1" t="s">
        <v>36</v>
      </c>
    </row>
    <row r="12" spans="1:8">
      <c r="A12" t="s">
        <v>63</v>
      </c>
      <c r="B12" t="s">
        <v>71</v>
      </c>
      <c r="D12" s="30">
        <f>2250*ツアーイベント!D19</f>
        <v>0</v>
      </c>
      <c r="E12" t="s">
        <v>36</v>
      </c>
    </row>
    <row r="13" spans="1:8">
      <c r="B13" t="s">
        <v>1</v>
      </c>
      <c r="D13" s="30">
        <f>ROUNDDOWN(ツアーイベント!D6*10000*0.02%,0)*ツアーイベント!D19</f>
        <v>0</v>
      </c>
      <c r="E13" t="s">
        <v>36</v>
      </c>
    </row>
    <row r="14" spans="1:8">
      <c r="B14" t="s">
        <v>75</v>
      </c>
      <c r="C14" s="31">
        <f>ツアーイベント!D15</f>
        <v>0</v>
      </c>
      <c r="D14" s="30">
        <f>(D12+D13)*ツアーイベント!D15</f>
        <v>0</v>
      </c>
      <c r="E14" t="s">
        <v>36</v>
      </c>
    </row>
    <row r="15" spans="1:8">
      <c r="B15" t="s">
        <v>72</v>
      </c>
      <c r="D15" s="30">
        <f>ROUNDDOWN((D12+D13+D14)*ツアーイベント!D8/100,)</f>
        <v>0</v>
      </c>
      <c r="E15" t="s">
        <v>36</v>
      </c>
    </row>
    <row r="16" spans="1:8" s="1" customFormat="1">
      <c r="B16" s="1" t="s">
        <v>77</v>
      </c>
      <c r="D16" s="30">
        <f>SUM(D12:D15)</f>
        <v>0</v>
      </c>
      <c r="E16" s="1" t="s">
        <v>36</v>
      </c>
      <c r="F16" s="1" t="s">
        <v>81</v>
      </c>
      <c r="G16" s="30">
        <f>ROUNDDOWN((D12+D13)*(1+ツアーイベント!D8/100),0)</f>
        <v>0</v>
      </c>
      <c r="H16" s="1" t="s">
        <v>36</v>
      </c>
    </row>
    <row r="18" spans="1:8">
      <c r="A18" t="s">
        <v>78</v>
      </c>
      <c r="B18" t="s">
        <v>6</v>
      </c>
      <c r="D18" s="30">
        <f>ツアーイベント!D18*3+ツアーイベント!D19</f>
        <v>0</v>
      </c>
      <c r="E18" t="s">
        <v>8</v>
      </c>
    </row>
    <row r="19" spans="1:8">
      <c r="B19" t="s">
        <v>79</v>
      </c>
      <c r="D19" s="30">
        <f>D10*3+D16</f>
        <v>0</v>
      </c>
      <c r="E19" t="s">
        <v>36</v>
      </c>
      <c r="F19" t="s">
        <v>81</v>
      </c>
      <c r="G19">
        <f>G10*3+G16</f>
        <v>0</v>
      </c>
      <c r="H19" t="s">
        <v>36</v>
      </c>
    </row>
    <row r="27" spans="1:8">
      <c r="E27" s="1"/>
    </row>
    <row r="28" spans="1:8">
      <c r="E28" s="1"/>
    </row>
    <row r="29" spans="1:8">
      <c r="E29" s="1"/>
    </row>
    <row r="30" spans="1:8">
      <c r="E30" s="1"/>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はじめにお読みください</vt:lpstr>
      <vt:lpstr>特効計算</vt:lpstr>
      <vt:lpstr>ツアーイベント</vt:lpstr>
      <vt:lpstr>イベント進捗</vt:lpstr>
      <vt:lpstr>【参考】特効倍率 </vt:lpstr>
      <vt:lpstr>特効計算用</vt:lpstr>
      <vt:lpstr>ツアイベ計算</vt:lpstr>
      <vt:lpstr>イベント進捗!Print_Area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あんスタイベントダイヤ数計算</dc:title>
  <dc:subject/>
  <dc:creator>まりんぬ</dc:creator>
  <cp:keywords/>
  <dc:description/>
  <cp:lastModifiedBy>🍎</cp:lastModifiedBy>
  <dcterms:created xsi:type="dcterms:W3CDTF">2021-08-19T03:43:20Z</dcterms:created>
  <dcterms:modified xsi:type="dcterms:W3CDTF">2024-08-13T08:21:10Z</dcterms:modified>
  <cp:category/>
</cp:coreProperties>
</file>