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mari/Documents/Excel/オタライフ/あんスタ/Excel配布用/"/>
    </mc:Choice>
  </mc:AlternateContent>
  <xr:revisionPtr revIDLastSave="0" documentId="8_{B4DF507A-2087-2D48-B7A1-93AE377EC018}" xr6:coauthVersionLast="36" xr6:coauthVersionMax="36" xr10:uidLastSave="{00000000-0000-0000-0000-000000000000}"/>
  <bookViews>
    <workbookView xWindow="1740" yWindow="760" windowWidth="27460" windowHeight="17160" xr2:uid="{EEE496C5-1D16-AF4E-9A21-1D6F6A8BBCEF}"/>
  </bookViews>
  <sheets>
    <sheet name="はじめにお読みください" sheetId="6" r:id="rId1"/>
    <sheet name="特効計算" sheetId="9" r:id="rId2"/>
    <sheet name="イベント開始時" sheetId="1" r:id="rId3"/>
    <sheet name="途中経過用" sheetId="7" r:id="rId4"/>
    <sheet name="イベント進捗" sheetId="11" r:id="rId5"/>
    <sheet name="【参考】特効倍率" sheetId="5" r:id="rId6"/>
    <sheet name="特効計算用" sheetId="10" state="hidden" r:id="rId7"/>
    <sheet name="箱イベ計算" sheetId="2" state="hidden" r:id="rId8"/>
    <sheet name="箱イベ計算2" sheetId="8" state="hidden" r:id="rId9"/>
  </sheets>
  <definedNames>
    <definedName name="_xlnm.Print_Area" localSheetId="4">イベント進捗!$B$1:$K$35</definedName>
    <definedName name="_xlnm.Print_Area" localSheetId="0">はじめにお読みください!$B$1:$B$80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1" l="1"/>
  <c r="D9" i="11" s="1"/>
  <c r="E8" i="11"/>
  <c r="F8" i="11"/>
  <c r="F10" i="11" s="1"/>
  <c r="G8" i="11"/>
  <c r="G9" i="11" s="1"/>
  <c r="H8" i="11"/>
  <c r="H9" i="11" s="1"/>
  <c r="I8" i="11"/>
  <c r="I10" i="11" s="1"/>
  <c r="J8" i="11"/>
  <c r="J9" i="11" s="1"/>
  <c r="K8" i="11"/>
  <c r="K10" i="11" s="1"/>
  <c r="C8" i="11"/>
  <c r="C9" i="11" s="1"/>
  <c r="E9" i="11"/>
  <c r="E10" i="11"/>
  <c r="J10" i="11" l="1"/>
  <c r="K9" i="11"/>
  <c r="G10" i="11"/>
  <c r="H10" i="11"/>
  <c r="F9" i="11"/>
  <c r="I9" i="11"/>
  <c r="D10" i="11"/>
  <c r="C10" i="11"/>
  <c r="C4" i="11"/>
  <c r="K5" i="11" l="1"/>
  <c r="J5" i="11"/>
  <c r="I5" i="11"/>
  <c r="H5" i="11"/>
  <c r="G5" i="11"/>
  <c r="F5" i="11"/>
  <c r="E5" i="11"/>
  <c r="D5" i="11"/>
  <c r="C5" i="11"/>
  <c r="D4" i="11"/>
  <c r="E4" i="11" s="1"/>
  <c r="F4" i="11" s="1"/>
  <c r="G4" i="11" s="1"/>
  <c r="H4" i="11" s="1"/>
  <c r="I4" i="11" s="1"/>
  <c r="J4" i="11" s="1"/>
  <c r="K4" i="11" s="1"/>
  <c r="D12" i="9"/>
  <c r="G12" i="9" s="1"/>
  <c r="D34" i="9"/>
  <c r="G34" i="9" s="1"/>
  <c r="D37" i="9"/>
  <c r="G37" i="9" s="1"/>
  <c r="D36" i="9"/>
  <c r="G36" i="9" s="1"/>
  <c r="D35" i="9"/>
  <c r="G35" i="9" s="1"/>
  <c r="D33" i="9"/>
  <c r="G33" i="9" s="1"/>
  <c r="D29" i="9"/>
  <c r="F29" i="9" s="1"/>
  <c r="D28" i="9"/>
  <c r="G28" i="9" s="1"/>
  <c r="D27" i="9"/>
  <c r="G27" i="9" s="1"/>
  <c r="D26" i="9"/>
  <c r="G26" i="9" s="1"/>
  <c r="D25" i="9"/>
  <c r="G25" i="9" s="1"/>
  <c r="D15" i="9"/>
  <c r="G15" i="9" s="1"/>
  <c r="D14" i="9"/>
  <c r="G14" i="9" s="1"/>
  <c r="D13" i="9"/>
  <c r="G13" i="9" s="1"/>
  <c r="D11" i="9"/>
  <c r="G11" i="9" s="1"/>
  <c r="H5" i="10"/>
  <c r="H6" i="10"/>
  <c r="H7" i="10"/>
  <c r="H4" i="10"/>
  <c r="G29" i="9" l="1"/>
  <c r="G30" i="9" s="1"/>
  <c r="G38" i="9"/>
  <c r="F35" i="9"/>
  <c r="F26" i="9"/>
  <c r="F36" i="9"/>
  <c r="F27" i="9"/>
  <c r="F33" i="9"/>
  <c r="F37" i="9"/>
  <c r="F28" i="9"/>
  <c r="F34" i="9"/>
  <c r="F25" i="9"/>
  <c r="G16" i="9"/>
  <c r="F13" i="9"/>
  <c r="F14" i="9"/>
  <c r="F11" i="9"/>
  <c r="F15" i="9"/>
  <c r="F12" i="9"/>
  <c r="D7" i="9"/>
  <c r="G7" i="9" s="1"/>
  <c r="D6" i="9"/>
  <c r="G6" i="9" s="1"/>
  <c r="D5" i="9"/>
  <c r="G5" i="9" s="1"/>
  <c r="D4" i="9"/>
  <c r="G4" i="9" s="1"/>
  <c r="D3" i="9"/>
  <c r="G3" i="9" s="1"/>
  <c r="E40" i="9" l="1"/>
  <c r="E41" i="9"/>
  <c r="D13" i="1" s="1"/>
  <c r="E18" i="9"/>
  <c r="G8" i="9"/>
  <c r="E19" i="9" s="1"/>
  <c r="D8" i="1" s="1"/>
  <c r="F4" i="9"/>
  <c r="F5" i="9"/>
  <c r="F3" i="9"/>
  <c r="F6" i="9"/>
  <c r="F7" i="9"/>
  <c r="D44" i="1"/>
  <c r="D26" i="8"/>
  <c r="C22" i="8"/>
  <c r="D13" i="8"/>
  <c r="D14" i="8" s="1"/>
  <c r="D7" i="8"/>
  <c r="D8" i="8" s="1"/>
  <c r="D3" i="8"/>
  <c r="D18" i="7" l="1"/>
  <c r="D14" i="1"/>
  <c r="D9" i="1"/>
  <c r="D13" i="7"/>
  <c r="E42" i="9"/>
  <c r="E20" i="9"/>
  <c r="D17" i="7"/>
  <c r="D12" i="7"/>
  <c r="D20" i="8"/>
  <c r="C9" i="8" l="1"/>
  <c r="D9" i="8"/>
  <c r="D11" i="8" s="1"/>
  <c r="C15" i="8"/>
  <c r="D15" i="8"/>
  <c r="D4" i="8" s="1"/>
  <c r="D5" i="8" s="1"/>
  <c r="D17" i="8" l="1"/>
  <c r="D19" i="8" s="1"/>
  <c r="D22" i="8" s="1"/>
  <c r="D21" i="7" s="1"/>
  <c r="D25" i="7" l="1"/>
  <c r="D25" i="8" l="1"/>
  <c r="G26" i="8" s="1"/>
  <c r="D27" i="8" s="1"/>
  <c r="G27" i="8" s="1"/>
  <c r="D26" i="7"/>
  <c r="D28" i="8" l="1"/>
  <c r="G28" i="8" s="1"/>
  <c r="D29" i="8" s="1"/>
  <c r="D30" i="8" s="1"/>
  <c r="D30" i="7" s="1"/>
  <c r="D15" i="2" l="1"/>
  <c r="D16" i="2" s="1"/>
  <c r="D9" i="2"/>
  <c r="D10" i="2" s="1"/>
  <c r="D11" i="2" l="1"/>
  <c r="D17" i="2"/>
  <c r="D22" i="2"/>
  <c r="D22" i="1" l="1"/>
  <c r="D13" i="2"/>
  <c r="D19" i="2" l="1"/>
  <c r="D21" i="2" s="1"/>
  <c r="D21" i="1" l="1"/>
  <c r="D28" i="2"/>
  <c r="D24" i="2"/>
  <c r="D35" i="1" l="1"/>
  <c r="D33" i="7"/>
  <c r="D23" i="7"/>
  <c r="D28" i="1"/>
  <c r="D27" i="2"/>
  <c r="G28" i="2" s="1"/>
  <c r="D29" i="2" s="1"/>
  <c r="D17" i="1"/>
  <c r="D42" i="1" l="1"/>
  <c r="D19" i="1"/>
  <c r="D40" i="1"/>
  <c r="G29" i="2"/>
  <c r="D30" i="2" l="1"/>
  <c r="G30" i="2" s="1"/>
  <c r="D31" i="2" s="1"/>
  <c r="D32" i="2" s="1"/>
  <c r="D37" i="1" l="1"/>
  <c r="D38" i="1" s="1"/>
  <c r="F37" i="1" l="1"/>
  <c r="F30" i="7"/>
  <c r="D3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7" authorId="0" shapeId="0" xr:uid="{7E61E7C2-4C01-C040-B8A0-F67FAE8C55B5}">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2" authorId="0" shapeId="0" xr:uid="{F0934232-B773-6B48-9317-7DBD45DFDF8D}">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11" authorId="0" shapeId="0" xr:uid="{3475BBAF-25CC-E94A-B30D-528B7A0B8707}">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6" authorId="0" shapeId="0" xr:uid="{597B632E-81EE-374E-900D-35153E1CE101}">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sharedStrings.xml><?xml version="1.0" encoding="utf-8"?>
<sst xmlns="http://schemas.openxmlformats.org/spreadsheetml/2006/main" count="366" uniqueCount="184">
  <si>
    <t>通常ライブ</t>
    <phoneticPr fontId="1"/>
  </si>
  <si>
    <t>通常ライブスコア</t>
    <phoneticPr fontId="1"/>
  </si>
  <si>
    <t>イベント楽曲スコア</t>
    <phoneticPr fontId="1"/>
  </si>
  <si>
    <t>%</t>
    <phoneticPr fontId="1"/>
  </si>
  <si>
    <t>スコアボーナス</t>
    <phoneticPr fontId="1"/>
  </si>
  <si>
    <t>通常ライブポイント</t>
    <rPh sb="0" eb="1">
      <t>ツウジョウライブ</t>
    </rPh>
    <phoneticPr fontId="1"/>
  </si>
  <si>
    <t>10BPあたり</t>
    <phoneticPr fontId="1"/>
  </si>
  <si>
    <t>イベント楽曲ライブ</t>
    <phoneticPr fontId="1"/>
  </si>
  <si>
    <t>万</t>
    <rPh sb="0" eb="1">
      <t>マｎ</t>
    </rPh>
    <phoneticPr fontId="1"/>
  </si>
  <si>
    <t>イベントライブポイント</t>
    <phoneticPr fontId="1"/>
  </si>
  <si>
    <t>目標ポイント</t>
    <rPh sb="0" eb="2">
      <t>モクヒョウ</t>
    </rPh>
    <phoneticPr fontId="1"/>
  </si>
  <si>
    <t>万ポイント</t>
    <rPh sb="0" eb="1">
      <t>マｎ</t>
    </rPh>
    <phoneticPr fontId="1"/>
  </si>
  <si>
    <t>通常ライブ10BP＋イベント</t>
    <rPh sb="0" eb="2">
      <t>ライブ</t>
    </rPh>
    <phoneticPr fontId="1"/>
  </si>
  <si>
    <t>1BPあたり</t>
    <phoneticPr fontId="1"/>
  </si>
  <si>
    <t>個</t>
    <rPh sb="0" eb="1">
      <t>コ</t>
    </rPh>
    <phoneticPr fontId="1"/>
  </si>
  <si>
    <t>使用BP</t>
    <rPh sb="0" eb="2">
      <t>シヨウ</t>
    </rPh>
    <phoneticPr fontId="1"/>
  </si>
  <si>
    <t>特効あり</t>
    <phoneticPr fontId="1"/>
  </si>
  <si>
    <t>パス消費数</t>
    <phoneticPr fontId="1"/>
  </si>
  <si>
    <t>用意すべきダイヤ数</t>
    <phoneticPr fontId="1"/>
  </si>
  <si>
    <t>BP</t>
    <phoneticPr fontId="1"/>
  </si>
  <si>
    <t>1枚</t>
  </si>
  <si>
    <t>5枚</t>
  </si>
  <si>
    <t>通常ライブ特効倍率</t>
    <rPh sb="0" eb="4">
      <t>トッコウバイリツ</t>
    </rPh>
    <phoneticPr fontId="1"/>
  </si>
  <si>
    <t>イベント楽曲特効倍率</t>
    <phoneticPr fontId="1"/>
  </si>
  <si>
    <t>獲得予定ホイッスル</t>
    <phoneticPr fontId="1"/>
  </si>
  <si>
    <t>獲得予定ダイヤ</t>
    <rPh sb="0" eb="1">
      <t>カクトクヨテイ</t>
    </rPh>
    <phoneticPr fontId="1"/>
  </si>
  <si>
    <t>現在所有ダイヤ</t>
    <rPh sb="0" eb="1">
      <t>ゲンザイショユウダイヤ</t>
    </rPh>
    <phoneticPr fontId="1"/>
  </si>
  <si>
    <t>あと</t>
    <phoneticPr fontId="1"/>
  </si>
  <si>
    <t>枚数</t>
  </si>
  <si>
    <t>★3</t>
  </si>
  <si>
    <t>★4</t>
  </si>
  <si>
    <t>★5</t>
  </si>
  <si>
    <t>2枚</t>
  </si>
  <si>
    <t>3枚</t>
  </si>
  <si>
    <t>4枚</t>
  </si>
  <si>
    <t>カード枚数</t>
  </si>
  <si>
    <t>回</t>
    <rPh sb="0" eb="1">
      <t>カイ</t>
    </rPh>
    <phoneticPr fontId="1"/>
  </si>
  <si>
    <t>通常ライブプレイ回数</t>
    <phoneticPr fontId="1"/>
  </si>
  <si>
    <t>時間</t>
    <rPh sb="0" eb="2">
      <t>ジカｎ</t>
    </rPh>
    <phoneticPr fontId="1"/>
  </si>
  <si>
    <t>使用BPあたり</t>
    <phoneticPr fontId="1"/>
  </si>
  <si>
    <t>通常ライブプレイ時間</t>
    <phoneticPr fontId="1"/>
  </si>
  <si>
    <t>【おまけ】</t>
    <phoneticPr fontId="1"/>
  </si>
  <si>
    <t>ガチャの撤退ライン</t>
    <phoneticPr fontId="1"/>
  </si>
  <si>
    <t>★5</t>
    <phoneticPr fontId="1"/>
  </si>
  <si>
    <t>★4</t>
    <phoneticPr fontId="1"/>
  </si>
  <si>
    <t>★3</t>
    <phoneticPr fontId="1"/>
  </si>
  <si>
    <t>合計</t>
    <rPh sb="0" eb="2">
      <t>ゴウケイ</t>
    </rPh>
    <phoneticPr fontId="1"/>
  </si>
  <si>
    <t>反映倍率</t>
    <phoneticPr fontId="1"/>
  </si>
  <si>
    <t>セルの文字が「####」になるときはセルの幅を広げてください</t>
    <rPh sb="0" eb="30">
      <t>ヒロゲテクダサイ</t>
    </rPh>
    <phoneticPr fontId="1"/>
  </si>
  <si>
    <t>参考：https://ota-life.com/music-newsong/#jump</t>
    <rPh sb="0" eb="2">
      <t>：</t>
    </rPh>
    <phoneticPr fontId="1"/>
  </si>
  <si>
    <t>一日に使える自然回復BP</t>
    <rPh sb="0" eb="4">
      <t>シゼンカイフク</t>
    </rPh>
    <phoneticPr fontId="1"/>
  </si>
  <si>
    <t>【使い方】</t>
    <phoneticPr fontId="1"/>
  </si>
  <si>
    <t>楽曲参加パス</t>
    <rPh sb="0" eb="2">
      <t>ガッキョク</t>
    </rPh>
    <phoneticPr fontId="1"/>
  </si>
  <si>
    <t>枚</t>
    <rPh sb="0" eb="1">
      <t>マイ</t>
    </rPh>
    <phoneticPr fontId="1"/>
  </si>
  <si>
    <t>pt</t>
    <phoneticPr fontId="1"/>
  </si>
  <si>
    <t>パス消費数</t>
  </si>
  <si>
    <t>消費数</t>
    <phoneticPr fontId="1"/>
  </si>
  <si>
    <t>残りパス枚数</t>
    <rPh sb="0" eb="2">
      <t>マイスウ</t>
    </rPh>
    <phoneticPr fontId="1"/>
  </si>
  <si>
    <t>トータルプレイ時間</t>
    <phoneticPr fontId="1"/>
  </si>
  <si>
    <t>イベント楽曲</t>
    <rPh sb="0" eb="2">
      <t>イベントガッキョク</t>
    </rPh>
    <phoneticPr fontId="1"/>
  </si>
  <si>
    <t>ファン人数</t>
    <phoneticPr fontId="1"/>
  </si>
  <si>
    <t>人</t>
    <rPh sb="0" eb="1">
      <t>ニｎ</t>
    </rPh>
    <phoneticPr fontId="1"/>
  </si>
  <si>
    <t>獲得ファン人数（１人あたり）</t>
    <phoneticPr fontId="1"/>
  </si>
  <si>
    <t>連までに特効が引けると得</t>
    <rPh sb="0" eb="1">
      <t>レｎ</t>
    </rPh>
    <phoneticPr fontId="1"/>
  </si>
  <si>
    <t>なにか不具合等ございましたら</t>
    <rPh sb="0" eb="3">
      <t>フグアイ</t>
    </rPh>
    <phoneticPr fontId="1"/>
  </si>
  <si>
    <t>X（旧Twitter）</t>
    <rPh sb="0" eb="1">
      <t>キュウ</t>
    </rPh>
    <phoneticPr fontId="1"/>
  </si>
  <si>
    <t>お問合せフォーム</t>
    <phoneticPr fontId="1"/>
  </si>
  <si>
    <t>等からご連絡いただけますと幸いです。</t>
    <rPh sb="0" eb="1">
      <t>サイワイデス</t>
    </rPh>
    <phoneticPr fontId="1"/>
  </si>
  <si>
    <t>著作権は放棄しておりません。</t>
    <rPh sb="0" eb="2">
      <t>ホウキシテオリマセｎ</t>
    </rPh>
    <phoneticPr fontId="1"/>
  </si>
  <si>
    <t>再配布・改変後の再配布・自作発言等は禁止です。</t>
    <rPh sb="0" eb="3">
      <t>・カイヘｎ</t>
    </rPh>
    <phoneticPr fontId="1"/>
  </si>
  <si>
    <t>実際の結果と異なる場合でも責任は負いかねます。</t>
    <rPh sb="0" eb="2">
      <t>。</t>
    </rPh>
    <phoneticPr fontId="1"/>
  </si>
  <si>
    <t>ご了承の上ご利用ください。</t>
    <rPh sb="0" eb="2">
      <t>。</t>
    </rPh>
    <phoneticPr fontId="1"/>
  </si>
  <si>
    <t>【はじめに】</t>
    <phoneticPr fontId="1"/>
  </si>
  <si>
    <t>このツールがお役に立てた際にはSNS等でシェアしていただけると嬉しいです。</t>
    <rPh sb="0" eb="1">
      <t>タテタトウ</t>
    </rPh>
    <phoneticPr fontId="1"/>
  </si>
  <si>
    <t>シェアしていただける場合は、下記配布ページのURLを共有していただけますと幸いです。</t>
    <rPh sb="0" eb="2">
      <t>カキ</t>
    </rPh>
    <phoneticPr fontId="1"/>
  </si>
  <si>
    <t>←このセルに入力した数字は優先反映されます</t>
    <rPh sb="0" eb="2">
      <t>スウジ</t>
    </rPh>
    <phoneticPr fontId="1"/>
  </si>
  <si>
    <t>https://x.com/lop_0125</t>
    <phoneticPr fontId="1"/>
  </si>
  <si>
    <t>https://ota-life.com/contact/</t>
    <phoneticPr fontId="1"/>
  </si>
  <si>
    <t>黄色・赤色のセルに入力すると、青色セルに結果が表示されます。</t>
    <rPh sb="0" eb="2">
      <t>ニ</t>
    </rPh>
    <phoneticPr fontId="1"/>
  </si>
  <si>
    <t>https://ota-life.com/music-newsong-excel/</t>
    <phoneticPr fontId="1"/>
  </si>
  <si>
    <t>使い方もこちらのページからご覧いただけます。</t>
    <rPh sb="0" eb="1">
      <t>。</t>
    </rPh>
    <phoneticPr fontId="1"/>
  </si>
  <si>
    <t>計算結果はあくまでも目安になります。</t>
    <rPh sb="0" eb="18">
      <t>。メヤス</t>
    </rPh>
    <phoneticPr fontId="1"/>
  </si>
  <si>
    <t>トータル使用BP</t>
    <rPh sb="0" eb="8">
      <t>シヨウ</t>
    </rPh>
    <phoneticPr fontId="1"/>
  </si>
  <si>
    <t>現在ポイント</t>
    <phoneticPr fontId="1"/>
  </si>
  <si>
    <t>特効合計ポイント</t>
    <phoneticPr fontId="1"/>
  </si>
  <si>
    <t>特効なし</t>
    <phoneticPr fontId="1"/>
  </si>
  <si>
    <t>パス所持分</t>
    <phoneticPr fontId="1"/>
  </si>
  <si>
    <t>目標までのポイント数</t>
    <phoneticPr fontId="1"/>
  </si>
  <si>
    <t>残りポイント数</t>
    <phoneticPr fontId="1"/>
  </si>
  <si>
    <t>目標までの使用BP</t>
    <rPh sb="0" eb="9">
      <t>シヨウ</t>
    </rPh>
    <phoneticPr fontId="1"/>
  </si>
  <si>
    <t>（特効なしの場合）</t>
    <rPh sb="0" eb="1">
      <t>トッコウナシノ</t>
    </rPh>
    <phoneticPr fontId="1"/>
  </si>
  <si>
    <t>参加パス所持数</t>
    <rPh sb="0" eb="3">
      <t>ショジスウ</t>
    </rPh>
    <phoneticPr fontId="1"/>
  </si>
  <si>
    <t>ライブでの獲得リボン数</t>
    <phoneticPr fontId="1"/>
  </si>
  <si>
    <t>１日あたりの目標ポイント数</t>
    <rPh sb="0" eb="2">
      <t>モクヒョウ</t>
    </rPh>
    <phoneticPr fontId="1"/>
  </si>
  <si>
    <t>現時点から目標までのプレイ時間</t>
    <rPh sb="0" eb="2">
      <t>モクヒョウ</t>
    </rPh>
    <phoneticPr fontId="1"/>
  </si>
  <si>
    <t>シャッフルスカウト</t>
    <phoneticPr fontId="1"/>
  </si>
  <si>
    <t>基本スカウト</t>
    <phoneticPr fontId="1"/>
  </si>
  <si>
    <t>スカウトの種類</t>
    <phoneticPr fontId="1"/>
  </si>
  <si>
    <t>カード枚数</t>
    <phoneticPr fontId="1"/>
  </si>
  <si>
    <t>★4カード二種</t>
    <rPh sb="0" eb="2">
      <t>ニシュ</t>
    </rPh>
    <phoneticPr fontId="1"/>
  </si>
  <si>
    <t>★5カード二種</t>
    <rPh sb="0" eb="2">
      <t>ニシュ</t>
    </rPh>
    <phoneticPr fontId="1"/>
  </si>
  <si>
    <t>★4カード二種</t>
    <rPh sb="0" eb="1">
      <t>ニシュ</t>
    </rPh>
    <phoneticPr fontId="1"/>
  </si>
  <si>
    <t>★5カード二種</t>
    <rPh sb="0" eb="1">
      <t>ニシュ</t>
    </rPh>
    <phoneticPr fontId="1"/>
  </si>
  <si>
    <t>合計編成枚数</t>
    <rPh sb="0" eb="2">
      <t>ゴウケイ</t>
    </rPh>
    <phoneticPr fontId="1"/>
  </si>
  <si>
    <t>星5二種（スカウト風変わりな終止たちなど）</t>
    <rPh sb="0" eb="2">
      <t>ニシュ</t>
    </rPh>
    <phoneticPr fontId="1"/>
  </si>
  <si>
    <t>星5カード1種、星4カード1種、星3カード1種以上のスカウトの場合</t>
    <rPh sb="0" eb="1">
      <t>ホシ５</t>
    </rPh>
    <phoneticPr fontId="1"/>
  </si>
  <si>
    <t>星5カード1種、星4カード1種、星3カードなしのスカウトの場合</t>
    <rPh sb="0" eb="1">
      <t>ホシ５</t>
    </rPh>
    <phoneticPr fontId="1"/>
  </si>
  <si>
    <t>日別目標</t>
    <phoneticPr fontId="1"/>
  </si>
  <si>
    <t>イベント開始日</t>
    <phoneticPr fontId="1"/>
  </si>
  <si>
    <t>通常ライブ特効倍率</t>
    <phoneticPr fontId="1"/>
  </si>
  <si>
    <t>【通常ライブ】</t>
    <phoneticPr fontId="1"/>
  </si>
  <si>
    <t>【イベント楽曲】</t>
    <phoneticPr fontId="1"/>
  </si>
  <si>
    <t>黄色セルを入力してください。</t>
    <rPh sb="0" eb="2">
      <t>キイロ</t>
    </rPh>
    <phoneticPr fontId="1"/>
  </si>
  <si>
    <t>ライブに編成できるカードは最大7枚です。</t>
    <rPh sb="0" eb="2">
      <t>ヘンセイデキルカードハ</t>
    </rPh>
    <phoneticPr fontId="1"/>
  </si>
  <si>
    <t>【「特効計算」シート】</t>
    <rPh sb="0" eb="1">
      <t>トッコウケイサｎ</t>
    </rPh>
    <phoneticPr fontId="1"/>
  </si>
  <si>
    <t>通常ライブ・イベント楽曲それぞれ、スカウトの種類とカード枚数を選択します。</t>
    <rPh sb="0" eb="2">
      <t>・</t>
    </rPh>
    <phoneticPr fontId="1"/>
  </si>
  <si>
    <t>特効なしの場合は入力不要です。</t>
    <rPh sb="0" eb="2">
      <t>ハ</t>
    </rPh>
    <phoneticPr fontId="1"/>
  </si>
  <si>
    <t>通常ライブ・イベント楽曲それぞれ、カードが合計7枚以内になるように調整してください。</t>
    <rPh sb="0" eb="1">
      <t>ツウジョウライブ</t>
    </rPh>
    <phoneticPr fontId="1"/>
  </si>
  <si>
    <t>【「イベント開始時」シート】</t>
    <rPh sb="0" eb="1">
      <t>トッコウケイサｎ</t>
    </rPh>
    <phoneticPr fontId="1"/>
  </si>
  <si>
    <t>イベント開始時から目標達成まで、どれくらいダイヤ数や時間が必要か計算できます。</t>
    <rPh sb="0" eb="2">
      <t>モクヒョウ</t>
    </rPh>
    <phoneticPr fontId="1"/>
  </si>
  <si>
    <t>黄色・赤色セルに入力すると、青色セルに結果が表示されます。</t>
    <rPh sb="0" eb="2">
      <t>ニ</t>
    </rPh>
    <phoneticPr fontId="1"/>
  </si>
  <si>
    <t>【「途中経過用」シート】</t>
    <rPh sb="0" eb="12">
      <t>トチュウケイカヨウ</t>
    </rPh>
    <phoneticPr fontId="1"/>
  </si>
  <si>
    <t>（すべてダイヤを使用した場合）</t>
    <rPh sb="0" eb="1">
      <t>ダイヤスウニ</t>
    </rPh>
    <phoneticPr fontId="1"/>
  </si>
  <si>
    <t>【「イベント進捗」シート】</t>
    <rPh sb="0" eb="2">
      <t>シンチョクトチュウケイカヨウ</t>
    </rPh>
    <phoneticPr fontId="1"/>
  </si>
  <si>
    <t>イベント進捗状況をグラフで確認できます。</t>
    <rPh sb="0" eb="2">
      <t>カクニンデキマス</t>
    </rPh>
    <phoneticPr fontId="1"/>
  </si>
  <si>
    <t>特効ボーナス対象スカウトが2つある場合、スカウトの種類ごとに入力します。</t>
    <rPh sb="0" eb="36">
      <t>ニュウリョクシマス</t>
    </rPh>
    <phoneticPr fontId="1"/>
  </si>
  <si>
    <t>【スカウトの種類】</t>
    <phoneticPr fontId="1"/>
  </si>
  <si>
    <t>スカウトの種類、特効倍率は「【参考】特効倍率」シートを御覧ください。</t>
    <phoneticPr fontId="1"/>
  </si>
  <si>
    <t>・基本スカウト</t>
    <rPh sb="0" eb="1">
      <t>キホｎ</t>
    </rPh>
    <phoneticPr fontId="1"/>
  </si>
  <si>
    <t>→★5一種、★4一種、★3一種以上</t>
    <rPh sb="0" eb="1">
      <t>ホシ</t>
    </rPh>
    <phoneticPr fontId="1"/>
  </si>
  <si>
    <t>・シャッフルスカウト</t>
    <rPh sb="0" eb="1">
      <t>・</t>
    </rPh>
    <phoneticPr fontId="1"/>
  </si>
  <si>
    <t>→★5一種、★4一種、★3なし</t>
    <phoneticPr fontId="1"/>
  </si>
  <si>
    <t>・★4カード二種</t>
    <rPh sb="0" eb="2">
      <t>ニシュ</t>
    </rPh>
    <phoneticPr fontId="1"/>
  </si>
  <si>
    <t>→★5一種、★4二種、★3一種</t>
    <rPh sb="0" eb="2">
      <t>★5</t>
    </rPh>
    <phoneticPr fontId="1"/>
  </si>
  <si>
    <t>・★5カード二種</t>
    <rPh sb="0" eb="2">
      <t>ニシュ</t>
    </rPh>
    <phoneticPr fontId="1"/>
  </si>
  <si>
    <t>→★5二種、★4二種、★3なし</t>
    <rPh sb="0" eb="2">
      <t>ニシュ</t>
    </rPh>
    <phoneticPr fontId="1"/>
  </si>
  <si>
    <t>シャッフルイベント連動スカウトは今後のイベント内容によってはスカウトで排出される</t>
    <rPh sb="0" eb="2">
      <t>レンドウ</t>
    </rPh>
    <phoneticPr fontId="1"/>
  </si>
  <si>
    <t>カードの枚数が変更になる可能性があります。</t>
    <rPh sb="0" eb="2">
      <t>ヘンコウ</t>
    </rPh>
    <phoneticPr fontId="1"/>
  </si>
  <si>
    <t>今までに実装された特効スカウトの倍率には対応しています。</t>
    <rPh sb="0" eb="2">
      <t>トッコウスカウト</t>
    </rPh>
    <phoneticPr fontId="1"/>
  </si>
  <si>
    <t>今後新たな倍率が実装された場合には順次対応予定です。</t>
    <rPh sb="0" eb="1">
      <t>アラタナバイリツ</t>
    </rPh>
    <phoneticPr fontId="1"/>
  </si>
  <si>
    <t>名称にとらわれず、スカウトから排出されるカードの枚数を基準にスカウトの種類を選択してください。</t>
    <rPh sb="0" eb="2">
      <t>メイショウ</t>
    </rPh>
    <phoneticPr fontId="1"/>
  </si>
  <si>
    <t>スプレッドシートの場合</t>
    <phoneticPr fontId="1"/>
  </si>
  <si>
    <t>「ファイル」▷「コピーを作成」でコピーしてから利用してください。</t>
    <rPh sb="0" eb="2">
      <t>リヨウシテクダサイ</t>
    </rPh>
    <phoneticPr fontId="1"/>
  </si>
  <si>
    <t>リクエストを頂いても承認できません。</t>
    <rPh sb="0" eb="1">
      <t>イタダイテモショウニンデキマセｎ</t>
    </rPh>
    <phoneticPr fontId="1"/>
  </si>
  <si>
    <t>「ファイル」▷「ダウンロード」からExcel形式でのDLも可能です。</t>
    <rPh sb="0" eb="2">
      <t>ケイシキ</t>
    </rPh>
    <phoneticPr fontId="1"/>
  </si>
  <si>
    <t>単位：万pt</t>
    <rPh sb="0" eb="2">
      <t>タンイ</t>
    </rPh>
    <phoneticPr fontId="1"/>
  </si>
  <si>
    <t>mm/dd形式で入力してください</t>
    <rPh sb="0" eb="2">
      <t>ケイシキデニュウリョクシテクダサイ</t>
    </rPh>
    <phoneticPr fontId="1"/>
  </si>
  <si>
    <t>星5カード1種、星4カード2種、星3カード1種のスカウトの場合</t>
    <rPh sb="0" eb="1">
      <t>ホシ５</t>
    </rPh>
    <phoneticPr fontId="1"/>
  </si>
  <si>
    <t>星4二種（スカウトルックバックなど）</t>
    <rPh sb="0" eb="2">
      <t>２シュ</t>
    </rPh>
    <phoneticPr fontId="1"/>
  </si>
  <si>
    <t>特効合計ポイント</t>
  </si>
  <si>
    <t>ポイント数</t>
    <phoneticPr fontId="1"/>
  </si>
  <si>
    <t>所持パス数</t>
    <rPh sb="0" eb="1">
      <t>スウ</t>
    </rPh>
    <phoneticPr fontId="1"/>
  </si>
  <si>
    <t>パス込ポイント数</t>
    <rPh sb="0" eb="1">
      <t>コミ</t>
    </rPh>
    <phoneticPr fontId="1"/>
  </si>
  <si>
    <t>イベント開始日、日別のポイント数を入力してください。</t>
    <rPh sb="0" eb="4">
      <t>イベントカイシビ</t>
    </rPh>
    <phoneticPr fontId="1"/>
  </si>
  <si>
    <t>未使用で所持しているイベント楽曲参加パスがあれば、所持数を入力することでパス分も含めたポイント数を計算できます。</t>
    <rPh sb="0" eb="3">
      <t>シテイル</t>
    </rPh>
    <phoneticPr fontId="1"/>
  </si>
  <si>
    <t>・目標ポイント</t>
    <rPh sb="0" eb="1">
      <t>・</t>
    </rPh>
    <phoneticPr fontId="1"/>
  </si>
  <si>
    <t>自分の目標ポイントを入力します。</t>
    <phoneticPr fontId="1"/>
  </si>
  <si>
    <t>参考）★5一枚：350万pt、★4完凸・★5三枚：1100万pt、★5四枚：1500万pt、★5完凸：2200万pt</t>
    <phoneticPr fontId="1"/>
  </si>
  <si>
    <t>・通常ライブスコア</t>
    <rPh sb="0" eb="1">
      <t>・</t>
    </rPh>
    <phoneticPr fontId="1"/>
  </si>
  <si>
    <t>通常ライブで取れるスコアの予想値を入力します。</t>
    <phoneticPr fontId="1"/>
  </si>
  <si>
    <t>絶対出せるスコアの入力がおすすめです。</t>
    <phoneticPr fontId="1"/>
  </si>
  <si>
    <t>・通常ライブ特効倍率</t>
    <rPh sb="0" eb="1">
      <t>ツウジョウライブ</t>
    </rPh>
    <phoneticPr fontId="1"/>
  </si>
  <si>
    <t>「特効計算」シートに入力済みなら自動入力されます。</t>
    <phoneticPr fontId="1"/>
  </si>
  <si>
    <t>「D7」セルは倍率の直接入力が可能。</t>
    <phoneticPr fontId="1"/>
  </si>
  <si>
    <t>D7セルに入力されているとその倍率を優先します。</t>
    <phoneticPr fontId="1"/>
  </si>
  <si>
    <t>イレギュラーな特効ボーナスが実装された場合は、直接入力を使用してください。</t>
    <phoneticPr fontId="1"/>
  </si>
  <si>
    <t>・イベント楽曲スコア</t>
    <rPh sb="0" eb="1">
      <t>・</t>
    </rPh>
    <phoneticPr fontId="1"/>
  </si>
  <si>
    <t>イベント楽曲で取れるスコアの予想値を入力します。</t>
    <phoneticPr fontId="1"/>
  </si>
  <si>
    <t>・イベント楽曲特効倍率</t>
    <rPh sb="0" eb="1">
      <t>ツウジョウライブ</t>
    </rPh>
    <phoneticPr fontId="1"/>
  </si>
  <si>
    <t>「D12」セルは倍率の直接入力が可能。</t>
    <phoneticPr fontId="1"/>
  </si>
  <si>
    <t>D12セルに入力されているとその倍率を優先します。</t>
    <phoneticPr fontId="1"/>
  </si>
  <si>
    <t>・使用BP</t>
    <rPh sb="0" eb="1">
      <t>シヨウ</t>
    </rPh>
    <phoneticPr fontId="1"/>
  </si>
  <si>
    <t>通常ライブで使用するBPを選択します。</t>
    <phoneticPr fontId="1"/>
  </si>
  <si>
    <t>目標ポイント別のおすすめ使用BPは下記記事を参考にしてください。</t>
    <phoneticPr fontId="1"/>
  </si>
  <si>
    <t>ここまで入力すると、目標達成までに使用するBP数がわかります。</t>
    <phoneticPr fontId="1"/>
  </si>
  <si>
    <t>・一日に使える自然回復BP/獲得予定ホイッスル/獲得予定ダイヤ/現在所有ダイヤ</t>
    <rPh sb="0" eb="1">
      <t>イチニチニ</t>
    </rPh>
    <phoneticPr fontId="1"/>
  </si>
  <si>
    <t>入力は任意ですが、入力すると「あと何個ダイヤを用意するべきか」がわかります。</t>
    <phoneticPr fontId="1"/>
  </si>
  <si>
    <t>「途中経過用」シートは、目標ポイント数・現在のポイント数・所持パス数を入力することで、</t>
    <rPh sb="0" eb="2">
      <t>モクヒョウポイントスウ</t>
    </rPh>
    <phoneticPr fontId="1"/>
  </si>
  <si>
    <t>現時点から目標達成までにあとどれくらいかかるかを知ることができます。</t>
    <phoneticPr fontId="1"/>
  </si>
  <si>
    <t>イベント楽曲のスコアは「イベント開始時」シートを参照します。</t>
    <rPh sb="0" eb="2">
      <t>サンショウシマス</t>
    </rPh>
    <phoneticPr fontId="1"/>
  </si>
  <si>
    <t>日別目標まで</t>
    <phoneticPr fontId="1"/>
  </si>
  <si>
    <t>最終目標まで</t>
    <phoneticPr fontId="1"/>
  </si>
  <si>
    <t>星5カード2種、星4カード2種、星3カードなしのスカウトの場合</t>
    <rPh sb="0" eb="1">
      <t>ホシ５</t>
    </rPh>
    <phoneticPr fontId="1"/>
  </si>
  <si>
    <t>基本スカウト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</si>
</sst>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quot;時間&quot;mm&quot;分&quot;"/>
    <numFmt numFmtId="177" formatCode="#,##0_);[Red]\(#,##0\)"/>
    <numFmt numFmtId="178" formatCode="#,##0.00_ "/>
    <numFmt numFmtId="179" formatCode="#,##0_ "/>
    <numFmt numFmtId="180" formatCode="0&quot;BP&quot;"/>
    <numFmt numFmtId="181" formatCode="&quot;約&quot;#,##0"/>
    <numFmt numFmtId="182" formatCode="0_);[Red]\(0\)"/>
    <numFmt numFmtId="183" formatCode="0_ "/>
    <numFmt numFmtId="184" formatCode="#,##0_ ;[Red]\-#,##0\ "/>
  </numFmts>
  <fonts count="12">
    <font>
      <sz val="12"/>
      <color theme="1"/>
      <name val="Meiryo"/>
      <family val="2"/>
      <charset val="128"/>
    </font>
    <font>
      <sz val="6"/>
      <name val="Meiryo"/>
      <family val="2"/>
      <charset val="128"/>
    </font>
    <font>
      <b/>
      <sz val="12"/>
      <color theme="1"/>
      <name val="Meiryo"/>
      <family val="2"/>
      <charset val="128"/>
    </font>
    <font>
      <sz val="12"/>
      <color theme="1"/>
      <name val="メイリオ"/>
      <family val="2"/>
      <charset val="128"/>
    </font>
    <font>
      <u/>
      <sz val="12"/>
      <color theme="10"/>
      <name val="Meiryo"/>
      <family val="2"/>
      <charset val="128"/>
    </font>
    <font>
      <sz val="10"/>
      <color rgb="FF000000"/>
      <name val="Yu Gothic UI"/>
    </font>
    <font>
      <sz val="12"/>
      <name val="Meiryo"/>
      <family val="2"/>
      <charset val="128"/>
    </font>
    <font>
      <sz val="14"/>
      <color theme="1"/>
      <name val="Meiryo"/>
      <family val="2"/>
      <charset val="128"/>
    </font>
    <font>
      <b/>
      <sz val="14"/>
      <color theme="1"/>
      <name val="Meiryo"/>
      <family val="2"/>
      <charset val="128"/>
    </font>
    <font>
      <b/>
      <sz val="24"/>
      <color theme="1"/>
      <name val="Meiryo"/>
      <family val="2"/>
      <charset val="128"/>
    </font>
    <font>
      <b/>
      <sz val="18"/>
      <color theme="0"/>
      <name val="Meiryo"/>
      <family val="2"/>
      <charset val="128"/>
    </font>
    <font>
      <b/>
      <sz val="14"/>
      <color theme="4" tint="-0.499984740745262"/>
      <name val="Meiryo"/>
      <family val="2"/>
      <charset val="128"/>
    </font>
  </fonts>
  <fills count="8">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EBAB3"/>
        <bgColor indexed="64"/>
      </patternFill>
    </fill>
    <fill>
      <patternFill patternType="solid">
        <fgColor theme="4" tint="-0.249977111117893"/>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1">
    <xf numFmtId="0" fontId="0" fillId="0" borderId="0" xfId="0">
      <alignment vertical="center"/>
    </xf>
    <xf numFmtId="0" fontId="0" fillId="0" borderId="0" xfId="0">
      <alignment vertical="center"/>
    </xf>
    <xf numFmtId="0" fontId="0" fillId="0" borderId="0" xfId="0" applyAlignment="1">
      <alignment horizontal="center" vertical="center"/>
    </xf>
    <xf numFmtId="0" fontId="0" fillId="0" borderId="1" xfId="0" applyBorder="1" applyAlignment="1">
      <alignment vertical="center"/>
    </xf>
    <xf numFmtId="9" fontId="0" fillId="0" borderId="1" xfId="0" applyNumberFormat="1" applyBorder="1" applyAlignment="1">
      <alignment vertical="center"/>
    </xf>
    <xf numFmtId="0" fontId="0" fillId="0" borderId="1" xfId="0" applyBorder="1">
      <alignment vertical="center"/>
    </xf>
    <xf numFmtId="9" fontId="0" fillId="0" borderId="1" xfId="0" applyNumberFormat="1" applyBorder="1">
      <alignment vertical="center"/>
    </xf>
    <xf numFmtId="0" fontId="0" fillId="3" borderId="1" xfId="0" applyFill="1" applyBorder="1" applyAlignment="1">
      <alignment vertical="center"/>
    </xf>
    <xf numFmtId="0" fontId="0" fillId="3" borderId="1" xfId="0" applyFill="1" applyBorder="1">
      <alignment vertical="center"/>
    </xf>
    <xf numFmtId="0" fontId="0" fillId="0" borderId="0" xfId="0" applyBorder="1">
      <alignment vertical="center"/>
    </xf>
    <xf numFmtId="179" fontId="0" fillId="0" borderId="0" xfId="0" applyNumberFormat="1">
      <alignment vertical="center"/>
    </xf>
    <xf numFmtId="0" fontId="0" fillId="0" borderId="0" xfId="0" applyProtection="1">
      <alignment vertical="center"/>
    </xf>
    <xf numFmtId="0" fontId="0" fillId="0" borderId="0" xfId="0" applyAlignment="1" applyProtection="1">
      <alignment vertical="center"/>
    </xf>
    <xf numFmtId="9" fontId="0" fillId="0" borderId="0" xfId="0" applyNumberFormat="1" applyFill="1" applyProtection="1">
      <alignment vertical="center"/>
    </xf>
    <xf numFmtId="0" fontId="0" fillId="4" borderId="0" xfId="0" applyFill="1" applyProtection="1">
      <alignment vertical="center"/>
    </xf>
    <xf numFmtId="178" fontId="0" fillId="4" borderId="0" xfId="0" applyNumberFormat="1" applyFill="1" applyProtection="1">
      <alignment vertical="center"/>
    </xf>
    <xf numFmtId="0" fontId="3" fillId="0" borderId="0" xfId="0" applyFont="1" applyProtection="1">
      <alignment vertical="center"/>
    </xf>
    <xf numFmtId="177" fontId="0" fillId="4" borderId="0" xfId="0" applyNumberFormat="1" applyFill="1" applyProtection="1">
      <alignment vertical="center"/>
    </xf>
    <xf numFmtId="177" fontId="0" fillId="0" borderId="0" xfId="0" applyNumberFormat="1" applyProtection="1">
      <alignment vertical="center"/>
    </xf>
    <xf numFmtId="0" fontId="0" fillId="0" borderId="0" xfId="0" applyFill="1" applyBorder="1" applyProtection="1">
      <alignment vertical="center"/>
    </xf>
    <xf numFmtId="0" fontId="0" fillId="0" borderId="0" xfId="0" applyAlignment="1" applyProtection="1">
      <alignment horizontal="right" vertical="center"/>
    </xf>
    <xf numFmtId="0" fontId="2" fillId="0" borderId="0" xfId="0" applyFont="1" applyProtection="1">
      <alignment vertical="center"/>
    </xf>
    <xf numFmtId="176" fontId="0" fillId="0" borderId="0" xfId="0" applyNumberFormat="1" applyProtection="1">
      <alignment vertical="center"/>
    </xf>
    <xf numFmtId="179" fontId="0" fillId="0" borderId="0" xfId="0" applyNumberFormat="1" applyProtection="1">
      <alignment vertical="center"/>
    </xf>
    <xf numFmtId="0" fontId="0" fillId="5" borderId="2" xfId="0" applyFill="1" applyBorder="1" applyProtection="1">
      <alignment vertical="center"/>
      <protection locked="0"/>
    </xf>
    <xf numFmtId="9" fontId="0" fillId="0" borderId="0" xfId="0" applyNumberFormat="1">
      <alignment vertical="center"/>
    </xf>
    <xf numFmtId="180" fontId="0" fillId="0" borderId="0" xfId="0" applyNumberFormat="1">
      <alignment vertical="center"/>
    </xf>
    <xf numFmtId="181" fontId="0" fillId="0" borderId="0" xfId="0" applyNumberFormat="1" applyProtection="1">
      <alignment vertical="center"/>
    </xf>
    <xf numFmtId="0" fontId="2" fillId="0" borderId="0" xfId="0" applyFont="1">
      <alignment vertical="center"/>
    </xf>
    <xf numFmtId="0" fontId="0" fillId="0" borderId="0" xfId="0" applyAlignment="1">
      <alignment horizontal="centerContinuous" vertical="center"/>
    </xf>
    <xf numFmtId="182" fontId="0" fillId="0" borderId="0" xfId="0" applyNumberFormat="1">
      <alignment vertical="center"/>
    </xf>
    <xf numFmtId="0" fontId="0"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183" fontId="8" fillId="0" borderId="0" xfId="0" applyNumberFormat="1" applyFont="1">
      <alignment vertical="center"/>
    </xf>
    <xf numFmtId="0" fontId="8" fillId="4" borderId="0" xfId="0" applyFont="1" applyFill="1">
      <alignment vertical="center"/>
    </xf>
    <xf numFmtId="177" fontId="0" fillId="2" borderId="1" xfId="0" applyNumberFormat="1" applyFill="1" applyBorder="1" applyProtection="1">
      <alignment vertical="center"/>
      <protection locked="0"/>
    </xf>
    <xf numFmtId="179" fontId="0" fillId="2" borderId="1" xfId="0" applyNumberFormat="1" applyFill="1" applyBorder="1" applyProtection="1">
      <alignment vertical="center"/>
      <protection locked="0"/>
    </xf>
    <xf numFmtId="0" fontId="0" fillId="2" borderId="1" xfId="0" applyFill="1" applyBorder="1" applyProtection="1">
      <alignment vertical="center"/>
      <protection locked="0"/>
    </xf>
    <xf numFmtId="0" fontId="0" fillId="0" borderId="0" xfId="0" applyProtection="1">
      <alignment vertical="center"/>
      <protection locked="0"/>
    </xf>
    <xf numFmtId="0" fontId="0" fillId="5" borderId="2" xfId="0" applyFill="1" applyBorder="1" applyProtection="1">
      <alignment vertical="center"/>
    </xf>
    <xf numFmtId="14" fontId="0" fillId="2" borderId="1" xfId="0" applyNumberFormat="1" applyFill="1" applyBorder="1" applyProtection="1">
      <alignment vertical="center"/>
      <protection locked="0"/>
    </xf>
    <xf numFmtId="0" fontId="0" fillId="2" borderId="1" xfId="0" applyFill="1" applyBorder="1" applyAlignment="1" applyProtection="1">
      <alignment horizontal="center" vertical="center"/>
      <protection locked="0"/>
    </xf>
    <xf numFmtId="0" fontId="10" fillId="6" borderId="0" xfId="0" applyFont="1" applyFill="1" applyAlignment="1">
      <alignment vertical="center"/>
    </xf>
    <xf numFmtId="0" fontId="0" fillId="0" borderId="0" xfId="0">
      <alignment vertical="center"/>
    </xf>
    <xf numFmtId="0" fontId="0" fillId="5" borderId="0" xfId="0" applyFill="1">
      <alignment vertical="center"/>
    </xf>
    <xf numFmtId="0" fontId="9" fillId="5" borderId="0" xfId="0" applyFont="1" applyFill="1">
      <alignment vertical="center"/>
    </xf>
    <xf numFmtId="0" fontId="3" fillId="5" borderId="0" xfId="0" applyFont="1" applyFill="1">
      <alignment vertical="center"/>
    </xf>
    <xf numFmtId="0" fontId="6" fillId="0" borderId="0" xfId="0" applyFont="1">
      <alignment vertical="center"/>
    </xf>
    <xf numFmtId="0" fontId="4" fillId="0" borderId="0" xfId="1">
      <alignment vertical="center"/>
    </xf>
    <xf numFmtId="0" fontId="3" fillId="0" borderId="0" xfId="0" applyFont="1">
      <alignment vertical="center"/>
    </xf>
    <xf numFmtId="0" fontId="0" fillId="0" borderId="0" xfId="0" applyAlignment="1">
      <alignment vertical="center" wrapText="1"/>
    </xf>
    <xf numFmtId="0" fontId="2" fillId="0" borderId="0" xfId="0" applyFont="1" applyAlignment="1">
      <alignment vertical="center" wrapText="1"/>
    </xf>
    <xf numFmtId="0" fontId="0" fillId="0" borderId="0" xfId="0" applyFill="1" applyBorder="1">
      <alignment vertical="center"/>
    </xf>
    <xf numFmtId="0" fontId="11" fillId="7" borderId="0" xfId="0" applyFont="1" applyFill="1" applyAlignment="1">
      <alignment vertical="center"/>
    </xf>
    <xf numFmtId="0" fontId="0" fillId="0" borderId="1" xfId="0" applyBorder="1" applyProtection="1">
      <alignment vertical="center"/>
    </xf>
    <xf numFmtId="14" fontId="0" fillId="0" borderId="1" xfId="0" applyNumberFormat="1" applyBorder="1" applyProtection="1">
      <alignment vertical="center"/>
    </xf>
    <xf numFmtId="177" fontId="0" fillId="0" borderId="1" xfId="0" applyNumberFormat="1" applyBorder="1" applyProtection="1">
      <alignment vertical="center"/>
    </xf>
    <xf numFmtId="177" fontId="0" fillId="0" borderId="1" xfId="0" applyNumberFormat="1" applyFill="1" applyBorder="1" applyProtection="1">
      <alignment vertical="center"/>
    </xf>
    <xf numFmtId="184" fontId="0" fillId="0" borderId="1" xfId="0" applyNumberFormat="1" applyFill="1" applyBorder="1" applyProtection="1">
      <alignment vertical="center"/>
    </xf>
  </cellXfs>
  <cellStyles count="2">
    <cellStyle name="ハイパーリンク" xfId="1" builtinId="8"/>
    <cellStyle name="標準" xfId="0" builtinId="0"/>
  </cellStyles>
  <dxfs count="12">
    <dxf>
      <font>
        <b/>
        <i val="0"/>
        <color rgb="FF9C0006"/>
      </font>
      <fill>
        <patternFill patternType="none">
          <bgColor auto="1"/>
        </patternFill>
      </fill>
    </dxf>
    <dxf>
      <font>
        <b/>
        <i val="0"/>
        <color rgb="FFC00000"/>
      </font>
    </dxf>
    <dxf>
      <font>
        <b/>
        <i val="0"/>
        <color rgb="FF9C0006"/>
      </font>
      <fill>
        <patternFill patternType="none">
          <bgColor auto="1"/>
        </patternFill>
      </fill>
    </dxf>
    <dxf>
      <font>
        <b/>
        <i val="0"/>
        <color rgb="FF9C0006"/>
      </font>
      <fill>
        <patternFill patternType="none">
          <bgColor auto="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A8B88"/>
      <color rgb="FF73B2FA"/>
      <color rgb="FFF9DCD5"/>
      <color rgb="FFFEBAB3"/>
      <color rgb="FFFC74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r>
              <a:rPr lang="ja-JP"/>
              <a:t>イベント進捗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title>
    <c:autoTitleDeleted val="0"/>
    <c:plotArea>
      <c:layout>
        <c:manualLayout>
          <c:layoutTarget val="inner"/>
          <c:xMode val="edge"/>
          <c:yMode val="edge"/>
          <c:x val="6.4588329254681914E-2"/>
          <c:y val="0.10908301349266016"/>
          <c:w val="0.92181511933895133"/>
          <c:h val="0.75546098313203192"/>
        </c:manualLayout>
      </c:layout>
      <c:lineChart>
        <c:grouping val="standard"/>
        <c:varyColors val="0"/>
        <c:ser>
          <c:idx val="0"/>
          <c:order val="0"/>
          <c:tx>
            <c:strRef>
              <c:f>イベント進捗!$B$5</c:f>
              <c:strCache>
                <c:ptCount val="1"/>
                <c:pt idx="0">
                  <c:v>日別目標</c:v>
                </c:pt>
              </c:strCache>
            </c:strRef>
          </c:tx>
          <c:spPr>
            <a:ln w="38100" cap="rnd">
              <a:solidFill>
                <a:srgbClr val="73B2FA"/>
              </a:solidFill>
              <a:round/>
            </a:ln>
            <a:effectLst/>
          </c:spPr>
          <c:marker>
            <c:symbol val="circle"/>
            <c:size val="8"/>
            <c:spPr>
              <a:solidFill>
                <a:srgbClr val="73B2FA"/>
              </a:solidFill>
              <a:ln w="38100">
                <a:solidFill>
                  <a:srgbClr val="73B2FA"/>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45549</c:v>
                </c:pt>
                <c:pt idx="1">
                  <c:v>45550</c:v>
                </c:pt>
                <c:pt idx="2">
                  <c:v>45551</c:v>
                </c:pt>
                <c:pt idx="3">
                  <c:v>45552</c:v>
                </c:pt>
                <c:pt idx="4">
                  <c:v>45553</c:v>
                </c:pt>
                <c:pt idx="5">
                  <c:v>45554</c:v>
                </c:pt>
                <c:pt idx="6">
                  <c:v>45555</c:v>
                </c:pt>
                <c:pt idx="7">
                  <c:v>45556</c:v>
                </c:pt>
                <c:pt idx="8">
                  <c:v>45557</c:v>
                </c:pt>
              </c:numCache>
            </c:numRef>
          </c:cat>
          <c:val>
            <c:numRef>
              <c:f>イベント進捗!$C$5:$K$5</c:f>
              <c:numCache>
                <c:formatCode>#,##0_);[Red]\(#,##0\)</c:formatCode>
                <c:ptCount val="9"/>
                <c:pt idx="0">
                  <c:v>244.44444444444446</c:v>
                </c:pt>
                <c:pt idx="1">
                  <c:v>488.88888888888891</c:v>
                </c:pt>
                <c:pt idx="2">
                  <c:v>733.33333333333337</c:v>
                </c:pt>
                <c:pt idx="3">
                  <c:v>977.77777777777783</c:v>
                </c:pt>
                <c:pt idx="4">
                  <c:v>1222.2222222222222</c:v>
                </c:pt>
                <c:pt idx="5">
                  <c:v>1466.6666666666667</c:v>
                </c:pt>
                <c:pt idx="6">
                  <c:v>1711.1111111111111</c:v>
                </c:pt>
                <c:pt idx="7">
                  <c:v>1955.5555555555557</c:v>
                </c:pt>
                <c:pt idx="8">
                  <c:v>2200</c:v>
                </c:pt>
              </c:numCache>
            </c:numRef>
          </c:val>
          <c:smooth val="0"/>
          <c:extLst>
            <c:ext xmlns:c16="http://schemas.microsoft.com/office/drawing/2014/chart" uri="{C3380CC4-5D6E-409C-BE32-E72D297353CC}">
              <c16:uniqueId val="{00000000-A23B-EF44-8D05-D3024D9A2065}"/>
            </c:ext>
          </c:extLst>
        </c:ser>
        <c:ser>
          <c:idx val="1"/>
          <c:order val="1"/>
          <c:tx>
            <c:strRef>
              <c:f>イベント進捗!$B$8</c:f>
              <c:strCache>
                <c:ptCount val="1"/>
                <c:pt idx="0">
                  <c:v>パス込ポイント数</c:v>
                </c:pt>
              </c:strCache>
            </c:strRef>
          </c:tx>
          <c:spPr>
            <a:ln w="28575" cap="rnd">
              <a:solidFill>
                <a:schemeClr val="accent2"/>
              </a:solidFill>
              <a:round/>
            </a:ln>
            <a:effectLst/>
          </c:spPr>
          <c:marker>
            <c:symbol val="circle"/>
            <c:size val="8"/>
            <c:spPr>
              <a:solidFill>
                <a:srgbClr val="FA8B88"/>
              </a:solidFill>
              <a:ln w="38100">
                <a:solidFill>
                  <a:srgbClr val="FA8B88"/>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45549</c:v>
                </c:pt>
                <c:pt idx="1">
                  <c:v>45550</c:v>
                </c:pt>
                <c:pt idx="2">
                  <c:v>45551</c:v>
                </c:pt>
                <c:pt idx="3">
                  <c:v>45552</c:v>
                </c:pt>
                <c:pt idx="4">
                  <c:v>45553</c:v>
                </c:pt>
                <c:pt idx="5">
                  <c:v>45554</c:v>
                </c:pt>
                <c:pt idx="6">
                  <c:v>45555</c:v>
                </c:pt>
                <c:pt idx="7">
                  <c:v>45556</c:v>
                </c:pt>
                <c:pt idx="8">
                  <c:v>45557</c:v>
                </c:pt>
              </c:numCache>
            </c:numRef>
          </c:cat>
          <c:val>
            <c:numRef>
              <c:f>イベント進捗!$C$8:$K$8</c:f>
              <c:numCache>
                <c:formatCode>#,##0_);[Red]\(#,##0\)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1-A23B-EF44-8D05-D3024D9A2065}"/>
            </c:ext>
          </c:extLst>
        </c:ser>
        <c:dLbls>
          <c:dLblPos val="t"/>
          <c:showLegendKey val="0"/>
          <c:showVal val="1"/>
          <c:showCatName val="0"/>
          <c:showSerName val="0"/>
          <c:showPercent val="0"/>
          <c:showBubbleSize val="0"/>
        </c:dLbls>
        <c:marker val="1"/>
        <c:smooth val="0"/>
        <c:axId val="987060815"/>
        <c:axId val="953563519"/>
      </c:lineChart>
      <c:dateAx>
        <c:axId val="987060815"/>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53563519"/>
        <c:crosses val="autoZero"/>
        <c:auto val="1"/>
        <c:lblOffset val="100"/>
        <c:baseTimeUnit val="days"/>
      </c:dateAx>
      <c:valAx>
        <c:axId val="953563519"/>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87060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panose="020B0604030504040204" pitchFamily="34" charset="-128"/>
          <a:ea typeface="Meiryo" panose="020B0604030504040204" pitchFamily="34"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127000</xdr:colOff>
      <xdr:row>7</xdr:row>
      <xdr:rowOff>76200</xdr:rowOff>
    </xdr:from>
    <xdr:to>
      <xdr:col>6</xdr:col>
      <xdr:colOff>1803400</xdr:colOff>
      <xdr:row>10</xdr:row>
      <xdr:rowOff>203200</xdr:rowOff>
    </xdr:to>
    <xdr:sp macro="" textlink="">
      <xdr:nvSpPr>
        <xdr:cNvPr id="5" name="テキスト ボックス 4">
          <a:extLst>
            <a:ext uri="{FF2B5EF4-FFF2-40B4-BE49-F238E27FC236}">
              <a16:creationId xmlns:a16="http://schemas.microsoft.com/office/drawing/2014/main" id="{A4CBA774-BEF4-EF46-B30F-DE511A3B21EF}"/>
            </a:ext>
          </a:extLst>
        </xdr:cNvPr>
        <xdr:cNvSpPr txBox="1"/>
      </xdr:nvSpPr>
      <xdr:spPr>
        <a:xfrm>
          <a:off x="6781800" y="1879600"/>
          <a:ext cx="3048000" cy="8890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特効計算</a:t>
          </a:r>
          <a:r>
            <a:rPr kumimoji="1" lang="en-US" altLang="ja-JP" sz="1200"/>
            <a:t>】</a:t>
          </a:r>
          <a:r>
            <a:rPr kumimoji="1" lang="ja-JP" altLang="en-US" sz="1200"/>
            <a:t>シートを使用した場合</a:t>
          </a:r>
          <a:endParaRPr kumimoji="1" lang="en-US" altLang="ja-JP" sz="1200"/>
        </a:p>
        <a:p>
          <a:r>
            <a:rPr kumimoji="1" lang="ja-JP" altLang="en-US" sz="1200"/>
            <a:t>赤セルの入力は不要です。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152400</xdr:colOff>
      <xdr:row>11</xdr:row>
      <xdr:rowOff>50800</xdr:rowOff>
    </xdr:from>
    <xdr:to>
      <xdr:col>6</xdr:col>
      <xdr:colOff>1828800</xdr:colOff>
      <xdr:row>14</xdr:row>
      <xdr:rowOff>177800</xdr:rowOff>
    </xdr:to>
    <xdr:sp macro="" textlink="">
      <xdr:nvSpPr>
        <xdr:cNvPr id="4" name="テキスト ボックス 3">
          <a:extLst>
            <a:ext uri="{FF2B5EF4-FFF2-40B4-BE49-F238E27FC236}">
              <a16:creationId xmlns:a16="http://schemas.microsoft.com/office/drawing/2014/main" id="{FA07FE18-10B4-E442-A957-F8EB26329F87}"/>
            </a:ext>
          </a:extLst>
        </xdr:cNvPr>
        <xdr:cNvSpPr txBox="1"/>
      </xdr:nvSpPr>
      <xdr:spPr>
        <a:xfrm>
          <a:off x="7708900" y="2870200"/>
          <a:ext cx="3048000" cy="8890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特効計算</a:t>
          </a:r>
          <a:r>
            <a:rPr kumimoji="1" lang="en-US" altLang="ja-JP" sz="1200"/>
            <a:t>】</a:t>
          </a:r>
          <a:r>
            <a:rPr kumimoji="1" lang="ja-JP" altLang="en-US" sz="1200"/>
            <a:t>シートを使用した場合</a:t>
          </a:r>
          <a:endParaRPr kumimoji="1" lang="en-US" altLang="ja-JP" sz="1200"/>
        </a:p>
        <a:p>
          <a:r>
            <a:rPr kumimoji="1" lang="ja-JP" altLang="en-US" sz="1200"/>
            <a:t>赤セルの入力は不要です。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63500</xdr:colOff>
      <xdr:row>11</xdr:row>
      <xdr:rowOff>101600</xdr:rowOff>
    </xdr:from>
    <xdr:to>
      <xdr:col>10</xdr:col>
      <xdr:colOff>901700</xdr:colOff>
      <xdr:row>34</xdr:row>
      <xdr:rowOff>63500</xdr:rowOff>
    </xdr:to>
    <xdr:graphicFrame macro="">
      <xdr:nvGraphicFramePr>
        <xdr:cNvPr id="2" name="グラフ 1">
          <a:extLst>
            <a:ext uri="{FF2B5EF4-FFF2-40B4-BE49-F238E27FC236}">
              <a16:creationId xmlns:a16="http://schemas.microsoft.com/office/drawing/2014/main" id="{9D578308-6CDC-F045-B291-27D5D63B2B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ta-life.com/contact/" TargetMode="External"/><Relationship Id="rId2" Type="http://schemas.openxmlformats.org/officeDocument/2006/relationships/hyperlink" Target="https://x.com/lop_0125" TargetMode="External"/><Relationship Id="rId1" Type="http://schemas.openxmlformats.org/officeDocument/2006/relationships/hyperlink" Target="https://ota-life.com/music-newsong/" TargetMode="External"/><Relationship Id="rId4" Type="http://schemas.openxmlformats.org/officeDocument/2006/relationships/hyperlink" Target="https://ota-life.com/music-newsong-exce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53E7A-9718-1E45-8485-1009EF620F4C}">
  <sheetPr>
    <tabColor rgb="FFC00000"/>
  </sheetPr>
  <dimension ref="A1:K82"/>
  <sheetViews>
    <sheetView tabSelected="1" zoomScaleNormal="100" workbookViewId="0">
      <selection sqref="A1:K1"/>
    </sheetView>
  </sheetViews>
  <sheetFormatPr baseColWidth="10" defaultRowHeight="21" customHeight="1"/>
  <cols>
    <col min="1" max="1" width="4.5703125" style="1" customWidth="1"/>
    <col min="2" max="2" width="15.5703125" style="1" customWidth="1"/>
    <col min="3" max="11" width="10.7109375" style="1"/>
  </cols>
  <sheetData>
    <row r="1" spans="1:11" ht="29" customHeight="1">
      <c r="A1" s="44" t="s">
        <v>72</v>
      </c>
      <c r="B1" s="44"/>
      <c r="C1" s="44"/>
      <c r="D1" s="44"/>
      <c r="E1" s="44"/>
      <c r="F1" s="44"/>
      <c r="G1" s="44"/>
      <c r="H1" s="44"/>
      <c r="I1" s="44"/>
      <c r="J1" s="44"/>
      <c r="K1" s="44"/>
    </row>
    <row r="2" spans="1:11" s="1" customFormat="1" ht="21" customHeight="1">
      <c r="B2" s="45"/>
      <c r="C2" s="45"/>
      <c r="D2" s="45"/>
      <c r="E2" s="45"/>
      <c r="F2" s="45"/>
      <c r="G2" s="45"/>
      <c r="H2" s="45"/>
      <c r="I2" s="45"/>
      <c r="J2" s="45"/>
      <c r="K2" s="45"/>
    </row>
    <row r="3" spans="1:11" s="1" customFormat="1" ht="21" customHeight="1">
      <c r="B3" s="46" t="s">
        <v>141</v>
      </c>
      <c r="C3" s="46"/>
      <c r="D3" s="46"/>
      <c r="E3" s="46"/>
      <c r="F3" s="46"/>
      <c r="G3" s="46"/>
      <c r="H3" s="46"/>
      <c r="I3" s="46"/>
      <c r="J3" s="46"/>
      <c r="K3" s="46"/>
    </row>
    <row r="4" spans="1:11" s="1" customFormat="1" ht="21" customHeight="1">
      <c r="B4" s="46" t="s">
        <v>142</v>
      </c>
      <c r="C4" s="46"/>
      <c r="D4" s="46"/>
      <c r="E4" s="46"/>
      <c r="F4" s="46"/>
      <c r="G4" s="46"/>
      <c r="H4" s="46"/>
      <c r="I4" s="46"/>
      <c r="J4" s="46"/>
      <c r="K4" s="46"/>
    </row>
    <row r="5" spans="1:11" s="1" customFormat="1" ht="33" customHeight="1">
      <c r="B5" s="47" t="s">
        <v>143</v>
      </c>
      <c r="C5" s="47"/>
      <c r="D5" s="47"/>
      <c r="E5" s="47"/>
      <c r="F5" s="47"/>
      <c r="G5" s="47"/>
      <c r="H5" s="47"/>
      <c r="I5" s="47"/>
      <c r="J5" s="47"/>
      <c r="K5" s="47"/>
    </row>
    <row r="6" spans="1:11" s="1" customFormat="1" ht="21" customHeight="1">
      <c r="B6" s="48" t="s">
        <v>144</v>
      </c>
      <c r="C6" s="48"/>
      <c r="D6" s="48"/>
      <c r="E6" s="48"/>
      <c r="F6" s="48"/>
      <c r="G6" s="48"/>
      <c r="H6" s="48"/>
      <c r="I6" s="48"/>
      <c r="J6" s="48"/>
      <c r="K6" s="48"/>
    </row>
    <row r="7" spans="1:11" s="1" customFormat="1" ht="21" customHeight="1">
      <c r="B7" s="45"/>
      <c r="C7" s="45"/>
      <c r="D7" s="45"/>
      <c r="E7" s="45"/>
      <c r="F7" s="45"/>
      <c r="G7" s="45"/>
      <c r="H7" s="45"/>
      <c r="I7" s="45"/>
      <c r="J7" s="45"/>
      <c r="K7" s="45"/>
    </row>
    <row r="8" spans="1:11" s="1" customFormat="1" ht="21" customHeight="1">
      <c r="B8" s="45" t="s">
        <v>68</v>
      </c>
      <c r="C8" s="45"/>
      <c r="D8" s="45"/>
      <c r="E8" s="45"/>
      <c r="F8" s="45"/>
      <c r="G8" s="45"/>
      <c r="H8" s="45"/>
      <c r="I8" s="45"/>
      <c r="J8" s="45"/>
      <c r="K8" s="45"/>
    </row>
    <row r="9" spans="1:11" s="1" customFormat="1" ht="21" customHeight="1">
      <c r="B9" s="45" t="s">
        <v>69</v>
      </c>
      <c r="C9" s="45"/>
      <c r="D9" s="45"/>
      <c r="E9" s="45"/>
      <c r="F9" s="45"/>
      <c r="G9" s="45"/>
      <c r="H9" s="45"/>
      <c r="I9" s="45"/>
      <c r="J9" s="45"/>
      <c r="K9" s="45"/>
    </row>
    <row r="10" spans="1:11" ht="21" customHeight="1">
      <c r="B10" s="45"/>
      <c r="C10" s="45"/>
      <c r="D10" s="45"/>
      <c r="E10" s="45"/>
      <c r="F10" s="45"/>
      <c r="G10" s="45"/>
      <c r="H10" s="45"/>
      <c r="I10" s="45"/>
      <c r="J10" s="45"/>
      <c r="K10" s="45"/>
    </row>
    <row r="11" spans="1:11" ht="21" customHeight="1">
      <c r="B11" s="49" t="s">
        <v>81</v>
      </c>
      <c r="C11" s="49"/>
      <c r="D11" s="49"/>
      <c r="E11" s="49"/>
      <c r="F11" s="49"/>
      <c r="G11" s="49"/>
      <c r="H11" s="49"/>
      <c r="I11" s="49"/>
      <c r="J11" s="49"/>
      <c r="K11" s="49"/>
    </row>
    <row r="12" spans="1:11" ht="21" customHeight="1">
      <c r="B12" s="49" t="s">
        <v>70</v>
      </c>
      <c r="C12" s="49"/>
      <c r="D12" s="49"/>
      <c r="E12" s="49"/>
      <c r="F12" s="49"/>
      <c r="G12" s="49"/>
      <c r="H12" s="49"/>
      <c r="I12" s="49"/>
      <c r="J12" s="49"/>
      <c r="K12" s="49"/>
    </row>
    <row r="13" spans="1:11" ht="21" customHeight="1">
      <c r="B13" s="49" t="s">
        <v>71</v>
      </c>
      <c r="C13" s="49"/>
      <c r="D13" s="49"/>
      <c r="E13" s="49"/>
      <c r="F13" s="49"/>
      <c r="G13" s="49"/>
      <c r="H13" s="49"/>
      <c r="I13" s="49"/>
      <c r="J13" s="49"/>
      <c r="K13" s="49"/>
    </row>
    <row r="14" spans="1:11" ht="21" customHeight="1">
      <c r="B14" s="45"/>
      <c r="C14" s="45"/>
      <c r="D14" s="45"/>
      <c r="E14" s="45"/>
      <c r="F14" s="45"/>
      <c r="G14" s="45"/>
      <c r="H14" s="45"/>
      <c r="I14" s="45"/>
      <c r="J14" s="45"/>
      <c r="K14" s="45"/>
    </row>
    <row r="15" spans="1:11" ht="21" customHeight="1">
      <c r="B15" s="49" t="s">
        <v>64</v>
      </c>
      <c r="C15" s="49"/>
      <c r="D15" s="49"/>
      <c r="E15" s="49"/>
      <c r="F15" s="49"/>
      <c r="G15" s="49"/>
      <c r="H15" s="49"/>
      <c r="I15" s="49"/>
      <c r="J15" s="49"/>
      <c r="K15" s="49"/>
    </row>
    <row r="16" spans="1:11" ht="21" customHeight="1">
      <c r="B16" s="49" t="s">
        <v>65</v>
      </c>
      <c r="C16" s="49"/>
      <c r="D16" s="49"/>
      <c r="E16" s="49"/>
      <c r="F16" s="49"/>
      <c r="G16" s="49"/>
      <c r="H16" s="49"/>
      <c r="I16" s="49"/>
      <c r="J16" s="49"/>
      <c r="K16" s="49"/>
    </row>
    <row r="17" spans="1:11" ht="21" customHeight="1">
      <c r="B17" s="50" t="s">
        <v>76</v>
      </c>
      <c r="C17" s="50"/>
      <c r="D17" s="50"/>
      <c r="E17" s="50"/>
      <c r="F17" s="50"/>
      <c r="G17" s="50"/>
      <c r="H17" s="50"/>
      <c r="I17" s="50"/>
      <c r="J17" s="50"/>
      <c r="K17" s="50"/>
    </row>
    <row r="18" spans="1:11" ht="21" customHeight="1">
      <c r="B18" s="49" t="s">
        <v>66</v>
      </c>
      <c r="C18" s="49"/>
      <c r="D18" s="49"/>
      <c r="E18" s="49"/>
      <c r="F18" s="49"/>
      <c r="G18" s="49"/>
      <c r="H18" s="49"/>
      <c r="I18" s="49"/>
      <c r="J18" s="49"/>
      <c r="K18" s="49"/>
    </row>
    <row r="19" spans="1:11" ht="21" customHeight="1">
      <c r="B19" s="50" t="s">
        <v>77</v>
      </c>
      <c r="C19" s="50"/>
      <c r="D19" s="50"/>
      <c r="E19" s="50"/>
      <c r="F19" s="50"/>
      <c r="G19" s="50"/>
      <c r="H19" s="50"/>
      <c r="I19" s="50"/>
      <c r="J19" s="50"/>
      <c r="K19" s="50"/>
    </row>
    <row r="20" spans="1:11" ht="21" customHeight="1">
      <c r="B20" s="49" t="s">
        <v>67</v>
      </c>
      <c r="C20" s="49"/>
      <c r="D20" s="49"/>
      <c r="E20" s="49"/>
      <c r="F20" s="49"/>
      <c r="G20" s="49"/>
      <c r="H20" s="49"/>
      <c r="I20" s="49"/>
      <c r="J20" s="49"/>
      <c r="K20" s="49"/>
    </row>
    <row r="21" spans="1:11" s="1" customFormat="1" ht="21" customHeight="1">
      <c r="B21" s="49"/>
      <c r="C21" s="49"/>
      <c r="D21" s="49"/>
      <c r="E21" s="49"/>
      <c r="F21" s="49"/>
      <c r="G21" s="49"/>
      <c r="H21" s="49"/>
      <c r="I21" s="49"/>
      <c r="J21" s="49"/>
      <c r="K21" s="49"/>
    </row>
    <row r="22" spans="1:11" s="1" customFormat="1" ht="21" customHeight="1">
      <c r="B22" s="49" t="s">
        <v>73</v>
      </c>
      <c r="C22" s="49"/>
      <c r="D22" s="49"/>
      <c r="E22" s="49"/>
      <c r="F22" s="49"/>
      <c r="G22" s="49"/>
      <c r="H22" s="49"/>
      <c r="I22" s="49"/>
      <c r="J22" s="49"/>
      <c r="K22" s="49"/>
    </row>
    <row r="23" spans="1:11" s="1" customFormat="1" ht="21" customHeight="1">
      <c r="B23" s="49" t="s">
        <v>74</v>
      </c>
      <c r="C23" s="49"/>
      <c r="D23" s="49"/>
      <c r="E23" s="49"/>
      <c r="F23" s="49"/>
      <c r="G23" s="49"/>
      <c r="H23" s="49"/>
      <c r="I23" s="49"/>
      <c r="J23" s="49"/>
      <c r="K23" s="49"/>
    </row>
    <row r="24" spans="1:11" s="1" customFormat="1" ht="21" customHeight="1">
      <c r="B24" s="50" t="s">
        <v>79</v>
      </c>
      <c r="C24" s="50"/>
      <c r="D24" s="50"/>
      <c r="E24" s="50"/>
      <c r="F24" s="50"/>
      <c r="G24" s="50"/>
      <c r="H24" s="50"/>
      <c r="I24" s="50"/>
      <c r="J24" s="50"/>
      <c r="K24" s="50"/>
    </row>
    <row r="25" spans="1:11" s="1" customFormat="1" ht="21" customHeight="1">
      <c r="B25" s="49" t="s">
        <v>80</v>
      </c>
      <c r="C25" s="49"/>
      <c r="D25" s="49"/>
      <c r="E25" s="49"/>
      <c r="F25" s="49"/>
      <c r="G25" s="49"/>
      <c r="H25" s="49"/>
      <c r="I25" s="49"/>
      <c r="J25" s="49"/>
      <c r="K25" s="49"/>
    </row>
    <row r="26" spans="1:11" s="1" customFormat="1" ht="21" customHeight="1">
      <c r="B26" s="49"/>
      <c r="C26" s="49"/>
      <c r="D26" s="49"/>
      <c r="E26" s="49"/>
      <c r="F26" s="49"/>
      <c r="G26" s="49"/>
      <c r="H26" s="49"/>
      <c r="I26" s="49"/>
      <c r="J26" s="49"/>
      <c r="K26" s="49"/>
    </row>
    <row r="27" spans="1:11" s="1" customFormat="1" ht="29" customHeight="1">
      <c r="A27" s="44" t="s">
        <v>51</v>
      </c>
      <c r="B27" s="44"/>
      <c r="C27" s="44"/>
      <c r="D27" s="44"/>
      <c r="E27" s="44"/>
      <c r="F27" s="44"/>
      <c r="G27" s="44"/>
      <c r="H27" s="44"/>
      <c r="I27" s="44"/>
      <c r="J27" s="44"/>
      <c r="K27" s="44"/>
    </row>
    <row r="28" spans="1:11" ht="21" customHeight="1">
      <c r="B28" s="45" t="s">
        <v>120</v>
      </c>
      <c r="C28" s="45"/>
      <c r="D28" s="45"/>
      <c r="E28" s="45"/>
      <c r="F28" s="45"/>
      <c r="G28" s="45"/>
      <c r="H28" s="45"/>
      <c r="I28" s="45"/>
      <c r="J28" s="45"/>
      <c r="K28" s="45"/>
    </row>
    <row r="29" spans="1:11" ht="21" customHeight="1">
      <c r="B29" s="51" t="s">
        <v>48</v>
      </c>
      <c r="C29" s="51"/>
      <c r="D29" s="51"/>
      <c r="E29" s="51"/>
      <c r="F29" s="51"/>
      <c r="G29" s="51"/>
      <c r="H29" s="51"/>
      <c r="I29" s="51"/>
      <c r="J29" s="51"/>
      <c r="K29" s="51"/>
    </row>
    <row r="30" spans="1:11" ht="21" customHeight="1">
      <c r="B30" s="45"/>
      <c r="C30" s="45"/>
      <c r="D30" s="45"/>
      <c r="E30" s="45"/>
      <c r="F30" s="45"/>
      <c r="G30" s="45"/>
      <c r="H30" s="45"/>
      <c r="I30" s="45"/>
      <c r="J30" s="45"/>
      <c r="K30" s="45"/>
    </row>
    <row r="31" spans="1:11" s="32" customFormat="1" ht="24" customHeight="1">
      <c r="A31" s="55" t="s">
        <v>114</v>
      </c>
      <c r="B31" s="55"/>
      <c r="C31" s="55"/>
      <c r="D31" s="55"/>
      <c r="E31" s="55"/>
      <c r="F31" s="55"/>
      <c r="G31" s="55"/>
      <c r="H31" s="55"/>
      <c r="I31" s="55"/>
      <c r="J31" s="55"/>
      <c r="K31" s="55"/>
    </row>
    <row r="32" spans="1:11" s="1" customFormat="1" ht="21" customHeight="1">
      <c r="B32" s="45" t="s">
        <v>115</v>
      </c>
      <c r="C32" s="45"/>
      <c r="D32" s="45"/>
      <c r="E32" s="45"/>
      <c r="F32" s="45"/>
      <c r="G32" s="45"/>
      <c r="H32" s="45"/>
      <c r="I32" s="45"/>
      <c r="J32" s="45"/>
      <c r="K32" s="45"/>
    </row>
    <row r="33" spans="1:11" s="1" customFormat="1" ht="21" customHeight="1">
      <c r="B33" s="45" t="s">
        <v>125</v>
      </c>
      <c r="C33" s="45"/>
      <c r="D33" s="45"/>
      <c r="E33" s="45"/>
      <c r="F33" s="45"/>
      <c r="G33" s="45"/>
      <c r="H33" s="45"/>
      <c r="I33" s="45"/>
      <c r="J33" s="45"/>
      <c r="K33" s="45"/>
    </row>
    <row r="34" spans="1:11" s="1" customFormat="1" ht="21" customHeight="1">
      <c r="B34" s="45" t="s">
        <v>116</v>
      </c>
      <c r="C34" s="45"/>
      <c r="D34" s="45"/>
      <c r="E34" s="45"/>
      <c r="F34" s="45"/>
      <c r="G34" s="45"/>
      <c r="H34" s="45"/>
      <c r="I34" s="45"/>
      <c r="J34" s="45"/>
      <c r="K34" s="45"/>
    </row>
    <row r="35" spans="1:11" s="1" customFormat="1" ht="21" customHeight="1">
      <c r="B35" s="45" t="s">
        <v>117</v>
      </c>
      <c r="C35" s="45"/>
      <c r="D35" s="45"/>
      <c r="E35" s="45"/>
      <c r="F35" s="45"/>
      <c r="G35" s="45"/>
      <c r="H35" s="45"/>
      <c r="I35" s="45"/>
      <c r="J35" s="45"/>
      <c r="K35" s="45"/>
    </row>
    <row r="36" spans="1:11" s="1" customFormat="1" ht="21" customHeight="1">
      <c r="B36" s="45"/>
      <c r="C36" s="45"/>
      <c r="D36" s="45"/>
      <c r="E36" s="45"/>
      <c r="F36" s="45"/>
      <c r="G36" s="45"/>
      <c r="H36" s="45"/>
      <c r="I36" s="45"/>
      <c r="J36" s="45"/>
      <c r="K36" s="45"/>
    </row>
    <row r="37" spans="1:11" s="1" customFormat="1" ht="21" customHeight="1">
      <c r="B37" s="45"/>
      <c r="C37" s="45"/>
      <c r="D37" s="45"/>
      <c r="E37" s="45"/>
      <c r="F37" s="45"/>
      <c r="G37" s="45"/>
      <c r="H37" s="45"/>
      <c r="I37" s="45"/>
      <c r="J37" s="45"/>
      <c r="K37" s="45"/>
    </row>
    <row r="38" spans="1:11" s="32" customFormat="1" ht="24" customHeight="1">
      <c r="A38" s="55" t="s">
        <v>118</v>
      </c>
      <c r="B38" s="55"/>
      <c r="C38" s="55"/>
      <c r="D38" s="55"/>
      <c r="E38" s="55"/>
      <c r="F38" s="55"/>
      <c r="G38" s="55"/>
      <c r="H38" s="55"/>
      <c r="I38" s="55"/>
      <c r="J38" s="55"/>
      <c r="K38" s="55"/>
    </row>
    <row r="39" spans="1:11" s="1" customFormat="1" ht="21" customHeight="1">
      <c r="B39" s="45" t="s">
        <v>119</v>
      </c>
      <c r="C39" s="45"/>
      <c r="D39" s="45"/>
      <c r="E39" s="45"/>
      <c r="F39" s="45"/>
      <c r="G39" s="45"/>
      <c r="H39" s="45"/>
      <c r="I39" s="45"/>
      <c r="J39" s="45"/>
      <c r="K39" s="45"/>
    </row>
    <row r="40" spans="1:11" s="1" customFormat="1" ht="21" customHeight="1">
      <c r="B40" s="45"/>
      <c r="C40" s="45"/>
      <c r="D40" s="45"/>
      <c r="E40" s="45"/>
      <c r="F40" s="45"/>
      <c r="G40" s="45"/>
      <c r="H40" s="45"/>
      <c r="I40" s="45"/>
      <c r="J40" s="45"/>
      <c r="K40" s="45"/>
    </row>
    <row r="41" spans="1:11" ht="21" customHeight="1">
      <c r="B41" s="53" t="s">
        <v>155</v>
      </c>
      <c r="C41" s="52"/>
      <c r="D41" s="52"/>
      <c r="E41" s="52"/>
      <c r="F41" s="52"/>
      <c r="G41" s="52"/>
      <c r="H41" s="52"/>
      <c r="I41" s="52"/>
      <c r="J41" s="52"/>
      <c r="K41" s="52"/>
    </row>
    <row r="42" spans="1:11" s="1" customFormat="1" ht="21" customHeight="1">
      <c r="B42" s="45" t="s">
        <v>156</v>
      </c>
      <c r="C42" s="45"/>
      <c r="D42" s="45"/>
      <c r="E42" s="45"/>
      <c r="F42" s="45"/>
      <c r="G42" s="45"/>
      <c r="H42" s="45"/>
      <c r="I42" s="45"/>
      <c r="J42" s="45"/>
      <c r="K42" s="45"/>
    </row>
    <row r="43" spans="1:11" s="1" customFormat="1" ht="21" customHeight="1">
      <c r="B43" s="54" t="s">
        <v>157</v>
      </c>
      <c r="C43" s="54"/>
      <c r="D43" s="54"/>
      <c r="E43" s="54"/>
      <c r="F43" s="54"/>
      <c r="G43" s="54"/>
      <c r="H43" s="54"/>
      <c r="I43" s="54"/>
      <c r="J43" s="54"/>
      <c r="K43" s="54"/>
    </row>
    <row r="44" spans="1:11" s="1" customFormat="1" ht="21" customHeight="1">
      <c r="B44" s="45"/>
      <c r="C44" s="45"/>
      <c r="D44" s="45"/>
      <c r="E44" s="45"/>
      <c r="F44" s="45"/>
      <c r="G44" s="45"/>
      <c r="H44" s="45"/>
      <c r="I44" s="45"/>
      <c r="J44" s="45"/>
      <c r="K44" s="45"/>
    </row>
    <row r="45" spans="1:11" ht="21" customHeight="1">
      <c r="B45" s="53" t="s">
        <v>158</v>
      </c>
      <c r="C45" s="52"/>
      <c r="D45" s="52"/>
      <c r="E45" s="52"/>
      <c r="F45" s="52"/>
      <c r="G45" s="52"/>
      <c r="H45" s="52"/>
      <c r="I45" s="52"/>
      <c r="J45" s="52"/>
      <c r="K45" s="52"/>
    </row>
    <row r="46" spans="1:11" s="1" customFormat="1" ht="21" customHeight="1">
      <c r="B46" s="52" t="s">
        <v>159</v>
      </c>
      <c r="C46" s="45"/>
      <c r="D46" s="45"/>
      <c r="E46" s="45"/>
      <c r="F46" s="45"/>
      <c r="G46" s="45"/>
      <c r="H46" s="45"/>
      <c r="I46" s="45"/>
      <c r="J46" s="45"/>
      <c r="K46" s="45"/>
    </row>
    <row r="47" spans="1:11" s="1" customFormat="1" ht="21" customHeight="1">
      <c r="B47" s="45" t="s">
        <v>160</v>
      </c>
      <c r="C47" s="45"/>
      <c r="D47" s="45"/>
      <c r="E47" s="45"/>
      <c r="F47" s="45"/>
      <c r="G47" s="45"/>
      <c r="H47" s="45"/>
      <c r="I47" s="45"/>
      <c r="J47" s="45"/>
      <c r="K47" s="45"/>
    </row>
    <row r="48" spans="1:11" s="1" customFormat="1" ht="21" customHeight="1">
      <c r="B48" s="45"/>
      <c r="C48" s="45"/>
      <c r="D48" s="45"/>
      <c r="E48" s="45"/>
      <c r="F48" s="45"/>
      <c r="G48" s="45"/>
      <c r="H48" s="45"/>
      <c r="I48" s="45"/>
      <c r="J48" s="45"/>
      <c r="K48" s="45"/>
    </row>
    <row r="49" spans="2:11" ht="21" customHeight="1">
      <c r="B49" s="53" t="s">
        <v>161</v>
      </c>
      <c r="C49" s="52"/>
      <c r="D49" s="52"/>
      <c r="E49" s="52"/>
      <c r="F49" s="52"/>
      <c r="G49" s="52"/>
      <c r="H49" s="52"/>
      <c r="I49" s="52"/>
      <c r="J49" s="52"/>
      <c r="K49" s="52"/>
    </row>
    <row r="50" spans="2:11" s="1" customFormat="1" ht="21" customHeight="1">
      <c r="B50" s="45" t="s">
        <v>162</v>
      </c>
      <c r="C50" s="45"/>
      <c r="D50" s="45"/>
      <c r="E50" s="45"/>
      <c r="F50" s="45"/>
      <c r="G50" s="45"/>
      <c r="H50" s="45"/>
      <c r="I50" s="45"/>
      <c r="J50" s="45"/>
      <c r="K50" s="45"/>
    </row>
    <row r="51" spans="2:11" s="1" customFormat="1" ht="21" customHeight="1">
      <c r="B51" s="52" t="s">
        <v>163</v>
      </c>
      <c r="C51" s="45"/>
      <c r="D51" s="45"/>
      <c r="E51" s="45"/>
      <c r="F51" s="45"/>
      <c r="G51" s="45"/>
      <c r="H51" s="45"/>
      <c r="I51" s="45"/>
      <c r="J51" s="45"/>
      <c r="K51" s="45"/>
    </row>
    <row r="52" spans="2:11" s="1" customFormat="1" ht="21" customHeight="1">
      <c r="B52" s="54" t="s">
        <v>164</v>
      </c>
      <c r="C52" s="54"/>
      <c r="D52" s="54"/>
      <c r="E52" s="54"/>
      <c r="F52" s="54"/>
      <c r="G52" s="54"/>
      <c r="H52" s="54"/>
      <c r="I52" s="54"/>
      <c r="J52" s="54"/>
      <c r="K52" s="54"/>
    </row>
    <row r="53" spans="2:11" s="1" customFormat="1" ht="21" customHeight="1">
      <c r="B53" s="54" t="s">
        <v>165</v>
      </c>
      <c r="C53" s="54"/>
      <c r="D53" s="54"/>
      <c r="E53" s="54"/>
      <c r="F53" s="54"/>
      <c r="G53" s="54"/>
      <c r="H53" s="54"/>
      <c r="I53" s="54"/>
      <c r="J53" s="54"/>
      <c r="K53" s="54"/>
    </row>
    <row r="54" spans="2:11" s="1" customFormat="1" ht="21" customHeight="1">
      <c r="B54" s="45"/>
      <c r="C54" s="45"/>
      <c r="D54" s="45"/>
      <c r="E54" s="45"/>
      <c r="F54" s="45"/>
      <c r="G54" s="45"/>
      <c r="H54" s="45"/>
      <c r="I54" s="45"/>
      <c r="J54" s="45"/>
      <c r="K54" s="45"/>
    </row>
    <row r="55" spans="2:11" ht="21" customHeight="1">
      <c r="B55" s="53" t="s">
        <v>166</v>
      </c>
      <c r="C55" s="52"/>
      <c r="D55" s="52"/>
      <c r="E55" s="52"/>
      <c r="F55" s="52"/>
      <c r="G55" s="52"/>
      <c r="H55" s="52"/>
      <c r="I55" s="52"/>
      <c r="J55" s="52"/>
      <c r="K55" s="52"/>
    </row>
    <row r="56" spans="2:11" s="1" customFormat="1" ht="21" customHeight="1">
      <c r="B56" s="54" t="s">
        <v>167</v>
      </c>
      <c r="C56" s="54"/>
      <c r="D56" s="54"/>
      <c r="E56" s="54"/>
      <c r="F56" s="54"/>
      <c r="G56" s="54"/>
      <c r="H56" s="54"/>
      <c r="I56" s="54"/>
      <c r="J56" s="54"/>
      <c r="K56" s="54"/>
    </row>
    <row r="57" spans="2:11" s="1" customFormat="1" ht="21" customHeight="1">
      <c r="B57" s="54" t="s">
        <v>160</v>
      </c>
      <c r="C57" s="54"/>
      <c r="D57" s="54"/>
      <c r="E57" s="54"/>
      <c r="F57" s="54"/>
      <c r="G57" s="54"/>
      <c r="H57" s="54"/>
      <c r="I57" s="54"/>
      <c r="J57" s="54"/>
      <c r="K57" s="54"/>
    </row>
    <row r="58" spans="2:11" s="1" customFormat="1" ht="21" customHeight="1">
      <c r="B58" s="45"/>
      <c r="C58" s="45"/>
      <c r="D58" s="45"/>
      <c r="E58" s="45"/>
      <c r="F58" s="45"/>
      <c r="G58" s="45"/>
      <c r="H58" s="45"/>
      <c r="I58" s="45"/>
      <c r="J58" s="45"/>
      <c r="K58" s="45"/>
    </row>
    <row r="59" spans="2:11" s="1" customFormat="1" ht="21" customHeight="1">
      <c r="B59" s="53" t="s">
        <v>168</v>
      </c>
      <c r="C59" s="52"/>
      <c r="D59" s="52"/>
      <c r="E59" s="52"/>
      <c r="F59" s="52"/>
      <c r="G59" s="52"/>
      <c r="H59" s="52"/>
      <c r="I59" s="52"/>
      <c r="J59" s="52"/>
      <c r="K59" s="52"/>
    </row>
    <row r="60" spans="2:11" s="1" customFormat="1" ht="21" customHeight="1">
      <c r="B60" s="45" t="s">
        <v>162</v>
      </c>
      <c r="C60" s="45"/>
      <c r="D60" s="45"/>
      <c r="E60" s="45"/>
      <c r="F60" s="45"/>
      <c r="G60" s="45"/>
      <c r="H60" s="45"/>
      <c r="I60" s="45"/>
      <c r="J60" s="45"/>
      <c r="K60" s="45"/>
    </row>
    <row r="61" spans="2:11" s="1" customFormat="1" ht="21" customHeight="1">
      <c r="B61" s="45" t="s">
        <v>169</v>
      </c>
      <c r="C61" s="45"/>
      <c r="D61" s="45"/>
      <c r="E61" s="45"/>
      <c r="F61" s="45"/>
      <c r="G61" s="45"/>
      <c r="H61" s="45"/>
      <c r="I61" s="45"/>
      <c r="J61" s="45"/>
      <c r="K61" s="45"/>
    </row>
    <row r="62" spans="2:11" s="1" customFormat="1" ht="21" customHeight="1">
      <c r="B62" s="54" t="s">
        <v>170</v>
      </c>
      <c r="C62" s="54"/>
      <c r="D62" s="54"/>
      <c r="E62" s="54"/>
      <c r="F62" s="54"/>
      <c r="G62" s="54"/>
      <c r="H62" s="54"/>
      <c r="I62" s="54"/>
      <c r="J62" s="54"/>
      <c r="K62" s="54"/>
    </row>
    <row r="63" spans="2:11" s="1" customFormat="1" ht="21" customHeight="1">
      <c r="B63" s="54" t="s">
        <v>165</v>
      </c>
      <c r="C63" s="54"/>
      <c r="D63" s="54"/>
      <c r="E63" s="54"/>
      <c r="F63" s="54"/>
      <c r="G63" s="54"/>
      <c r="H63" s="54"/>
      <c r="I63" s="54"/>
      <c r="J63" s="54"/>
      <c r="K63" s="54"/>
    </row>
    <row r="64" spans="2:11" s="1" customFormat="1" ht="21" customHeight="1">
      <c r="B64" s="45"/>
      <c r="C64" s="45"/>
      <c r="D64" s="45"/>
      <c r="E64" s="45"/>
      <c r="F64" s="45"/>
      <c r="G64" s="45"/>
      <c r="H64" s="45"/>
      <c r="I64" s="45"/>
      <c r="J64" s="45"/>
      <c r="K64" s="45"/>
    </row>
    <row r="65" spans="1:11" ht="21" customHeight="1">
      <c r="B65" s="53" t="s">
        <v>171</v>
      </c>
      <c r="C65" s="52"/>
      <c r="D65" s="52"/>
      <c r="E65" s="52"/>
      <c r="F65" s="52"/>
      <c r="G65" s="52"/>
      <c r="H65" s="52"/>
      <c r="I65" s="52"/>
      <c r="J65" s="52"/>
      <c r="K65" s="52"/>
    </row>
    <row r="66" spans="1:11" s="1" customFormat="1" ht="21" customHeight="1">
      <c r="B66" s="54" t="s">
        <v>172</v>
      </c>
      <c r="C66" s="54"/>
      <c r="D66" s="54"/>
      <c r="E66" s="54"/>
      <c r="F66" s="54"/>
      <c r="G66" s="54"/>
      <c r="H66" s="54"/>
      <c r="I66" s="54"/>
      <c r="J66" s="54"/>
      <c r="K66" s="54"/>
    </row>
    <row r="67" spans="1:11" s="1" customFormat="1" ht="21" customHeight="1">
      <c r="B67" s="52" t="s">
        <v>173</v>
      </c>
      <c r="C67" s="45"/>
      <c r="D67" s="45"/>
      <c r="E67" s="45"/>
      <c r="F67" s="45"/>
      <c r="G67" s="45"/>
      <c r="H67" s="45"/>
      <c r="I67" s="45"/>
      <c r="J67" s="45"/>
      <c r="K67" s="45"/>
    </row>
    <row r="68" spans="1:11" s="1" customFormat="1" ht="21" customHeight="1">
      <c r="B68" s="54" t="s">
        <v>174</v>
      </c>
      <c r="C68" s="54"/>
      <c r="D68" s="54"/>
      <c r="E68" s="54"/>
      <c r="F68" s="54"/>
      <c r="G68" s="54"/>
      <c r="H68" s="54"/>
      <c r="I68" s="54"/>
      <c r="J68" s="54"/>
      <c r="K68" s="54"/>
    </row>
    <row r="69" spans="1:11" ht="21" customHeight="1">
      <c r="B69" s="50" t="s">
        <v>49</v>
      </c>
      <c r="C69" s="50"/>
      <c r="D69" s="50"/>
      <c r="E69" s="50"/>
      <c r="F69" s="50"/>
      <c r="G69" s="50"/>
      <c r="H69" s="50"/>
      <c r="I69" s="50"/>
      <c r="J69" s="50"/>
      <c r="K69" s="50"/>
    </row>
    <row r="70" spans="1:11" ht="21" customHeight="1">
      <c r="B70" s="45"/>
      <c r="C70" s="45"/>
      <c r="D70" s="45"/>
      <c r="E70" s="45"/>
      <c r="F70" s="45"/>
      <c r="G70" s="45"/>
      <c r="H70" s="45"/>
      <c r="I70" s="45"/>
      <c r="J70" s="45"/>
      <c r="K70" s="45"/>
    </row>
    <row r="71" spans="1:11" ht="21" customHeight="1">
      <c r="B71" s="53" t="s">
        <v>175</v>
      </c>
      <c r="C71" s="52"/>
      <c r="D71" s="52"/>
      <c r="E71" s="52"/>
      <c r="F71" s="52"/>
      <c r="G71" s="52"/>
      <c r="H71" s="52"/>
      <c r="I71" s="52"/>
      <c r="J71" s="52"/>
      <c r="K71" s="52"/>
    </row>
    <row r="72" spans="1:11" ht="21" customHeight="1">
      <c r="B72" s="45" t="s">
        <v>176</v>
      </c>
      <c r="C72" s="45"/>
      <c r="D72" s="45"/>
      <c r="E72" s="45"/>
      <c r="F72" s="45"/>
      <c r="G72" s="45"/>
      <c r="H72" s="45"/>
      <c r="I72" s="45"/>
      <c r="J72" s="45"/>
      <c r="K72" s="45"/>
    </row>
    <row r="73" spans="1:11" s="1" customFormat="1" ht="21" customHeight="1">
      <c r="B73" s="45"/>
      <c r="C73" s="45"/>
      <c r="D73" s="45"/>
      <c r="E73" s="45"/>
      <c r="F73" s="45"/>
      <c r="G73" s="45"/>
      <c r="H73" s="45"/>
      <c r="I73" s="45"/>
      <c r="J73" s="45"/>
      <c r="K73" s="45"/>
    </row>
    <row r="74" spans="1:11" s="32" customFormat="1" ht="24" customHeight="1">
      <c r="A74" s="55" t="s">
        <v>121</v>
      </c>
      <c r="B74" s="55"/>
      <c r="C74" s="55"/>
      <c r="D74" s="55"/>
      <c r="E74" s="55"/>
      <c r="F74" s="55"/>
      <c r="G74" s="55"/>
      <c r="H74" s="55"/>
      <c r="I74" s="55"/>
      <c r="J74" s="55"/>
      <c r="K74" s="55"/>
    </row>
    <row r="75" spans="1:11" s="1" customFormat="1" ht="21" customHeight="1">
      <c r="B75" s="52" t="s">
        <v>177</v>
      </c>
      <c r="C75" s="52"/>
      <c r="D75" s="52"/>
      <c r="E75" s="52"/>
      <c r="F75" s="52"/>
      <c r="G75" s="52"/>
      <c r="H75" s="52"/>
      <c r="I75" s="52"/>
      <c r="J75" s="52"/>
      <c r="K75" s="52"/>
    </row>
    <row r="76" spans="1:11" s="1" customFormat="1" ht="21" customHeight="1">
      <c r="B76" s="45" t="s">
        <v>178</v>
      </c>
      <c r="C76" s="45"/>
      <c r="D76" s="45"/>
      <c r="E76" s="45"/>
      <c r="F76" s="45"/>
      <c r="G76" s="45"/>
      <c r="H76" s="45"/>
      <c r="I76" s="45"/>
      <c r="J76" s="45"/>
      <c r="K76" s="45"/>
    </row>
    <row r="77" spans="1:11" ht="21" customHeight="1">
      <c r="B77" s="45"/>
      <c r="C77" s="45"/>
      <c r="D77" s="45"/>
      <c r="E77" s="45"/>
      <c r="F77" s="45"/>
      <c r="G77" s="45"/>
      <c r="H77" s="45"/>
      <c r="I77" s="45"/>
      <c r="J77" s="45"/>
      <c r="K77" s="45"/>
    </row>
    <row r="78" spans="1:11" s="32" customFormat="1" ht="24" customHeight="1">
      <c r="A78" s="55" t="s">
        <v>123</v>
      </c>
      <c r="B78" s="55"/>
      <c r="C78" s="55"/>
      <c r="D78" s="55"/>
      <c r="E78" s="55"/>
      <c r="F78" s="55"/>
      <c r="G78" s="55"/>
      <c r="H78" s="55"/>
      <c r="I78" s="55"/>
      <c r="J78" s="55"/>
      <c r="K78" s="55"/>
    </row>
    <row r="79" spans="1:11" ht="21" customHeight="1">
      <c r="B79" s="45" t="s">
        <v>124</v>
      </c>
      <c r="C79" s="45"/>
      <c r="D79" s="45"/>
      <c r="E79" s="45"/>
      <c r="F79" s="45"/>
      <c r="G79" s="45"/>
      <c r="H79" s="45"/>
      <c r="I79" s="45"/>
      <c r="J79" s="45"/>
      <c r="K79" s="45"/>
    </row>
    <row r="80" spans="1:11" ht="21" customHeight="1">
      <c r="B80" s="45" t="s">
        <v>153</v>
      </c>
      <c r="C80" s="45"/>
      <c r="D80" s="45"/>
      <c r="E80" s="45"/>
      <c r="F80" s="45"/>
      <c r="G80" s="45"/>
      <c r="H80" s="45"/>
      <c r="I80" s="45"/>
      <c r="J80" s="45"/>
      <c r="K80" s="45"/>
    </row>
    <row r="81" spans="2:11" ht="21" customHeight="1">
      <c r="B81" s="45" t="s">
        <v>154</v>
      </c>
      <c r="C81" s="45"/>
      <c r="D81" s="45"/>
      <c r="E81" s="45"/>
      <c r="F81" s="45"/>
      <c r="G81" s="45"/>
      <c r="H81" s="45"/>
      <c r="I81" s="45"/>
      <c r="J81" s="45"/>
      <c r="K81" s="45"/>
    </row>
    <row r="82" spans="2:11" ht="21" customHeight="1">
      <c r="B82" s="54" t="s">
        <v>179</v>
      </c>
      <c r="C82" s="54"/>
      <c r="D82" s="54"/>
      <c r="E82" s="54"/>
      <c r="F82" s="54"/>
      <c r="G82" s="54"/>
      <c r="H82" s="54"/>
      <c r="I82" s="54"/>
      <c r="J82" s="54"/>
      <c r="K82" s="54"/>
    </row>
  </sheetData>
  <mergeCells count="82">
    <mergeCell ref="B80:K80"/>
    <mergeCell ref="B81:K81"/>
    <mergeCell ref="A27:K27"/>
    <mergeCell ref="A31:K31"/>
    <mergeCell ref="A38:K38"/>
    <mergeCell ref="A74:K74"/>
    <mergeCell ref="B42:K42"/>
    <mergeCell ref="B43:K43"/>
    <mergeCell ref="B51:K51"/>
    <mergeCell ref="B75:K75"/>
    <mergeCell ref="B76:K76"/>
    <mergeCell ref="B77:K77"/>
    <mergeCell ref="B79:K79"/>
    <mergeCell ref="B52:K52"/>
    <mergeCell ref="B53:K53"/>
    <mergeCell ref="B56:K56"/>
    <mergeCell ref="B57:K57"/>
    <mergeCell ref="B65:K65"/>
    <mergeCell ref="B69:K69"/>
    <mergeCell ref="B70:K70"/>
    <mergeCell ref="B71:K71"/>
    <mergeCell ref="B72:K72"/>
    <mergeCell ref="B73:K73"/>
    <mergeCell ref="B66:K66"/>
    <mergeCell ref="B67:K67"/>
    <mergeCell ref="B68:K68"/>
    <mergeCell ref="B49:K49"/>
    <mergeCell ref="B54:K54"/>
    <mergeCell ref="B55:K55"/>
    <mergeCell ref="B58:K58"/>
    <mergeCell ref="B59:K59"/>
    <mergeCell ref="B64:K64"/>
    <mergeCell ref="B50:K50"/>
    <mergeCell ref="B60:K60"/>
    <mergeCell ref="B39:K39"/>
    <mergeCell ref="B40:K40"/>
    <mergeCell ref="B41:K41"/>
    <mergeCell ref="B44:K44"/>
    <mergeCell ref="B45:K45"/>
    <mergeCell ref="B48:K48"/>
    <mergeCell ref="B46:K46"/>
    <mergeCell ref="B47:K47"/>
    <mergeCell ref="B32:K32"/>
    <mergeCell ref="B33:K33"/>
    <mergeCell ref="B34:K34"/>
    <mergeCell ref="B35:K35"/>
    <mergeCell ref="B36:K36"/>
    <mergeCell ref="B37:K37"/>
    <mergeCell ref="B24:K24"/>
    <mergeCell ref="B25:K25"/>
    <mergeCell ref="B26:K26"/>
    <mergeCell ref="B28:K28"/>
    <mergeCell ref="B29:K29"/>
    <mergeCell ref="B18:K18"/>
    <mergeCell ref="B19:K19"/>
    <mergeCell ref="B20:K20"/>
    <mergeCell ref="B21:K21"/>
    <mergeCell ref="B22:K22"/>
    <mergeCell ref="B23:K23"/>
    <mergeCell ref="B12:K12"/>
    <mergeCell ref="B13:K13"/>
    <mergeCell ref="B14:K14"/>
    <mergeCell ref="B15:K15"/>
    <mergeCell ref="B16:K16"/>
    <mergeCell ref="B17:K17"/>
    <mergeCell ref="B2:K2"/>
    <mergeCell ref="B3:K3"/>
    <mergeCell ref="B4:K4"/>
    <mergeCell ref="B5:K5"/>
    <mergeCell ref="B6:K6"/>
    <mergeCell ref="B7:K7"/>
    <mergeCell ref="B8:K8"/>
    <mergeCell ref="B9:K9"/>
    <mergeCell ref="A78:K78"/>
    <mergeCell ref="B61:K61"/>
    <mergeCell ref="B62:K62"/>
    <mergeCell ref="B63:K63"/>
    <mergeCell ref="B82:K82"/>
    <mergeCell ref="B10:K10"/>
    <mergeCell ref="A1:K1"/>
    <mergeCell ref="B30:K30"/>
    <mergeCell ref="B11:K11"/>
  </mergeCells>
  <phoneticPr fontId="1"/>
  <hyperlinks>
    <hyperlink ref="B69" r:id="rId1" location="jump" display="https://ota-life.com/music-newsong/#jump" xr:uid="{E76DEB9A-A37E-514E-A83D-3D64428A7EA9}"/>
    <hyperlink ref="B17" r:id="rId2" xr:uid="{6DEFC41D-5D8F-E248-8B91-DDB359DD2A9C}"/>
    <hyperlink ref="B19" r:id="rId3" xr:uid="{F6994B44-E943-974B-AFE9-3121492592AF}"/>
    <hyperlink ref="B24" r:id="rId4" xr:uid="{FB299C57-24FA-894A-BD15-0543E2ABD4A2}"/>
  </hyperlinks>
  <pageMargins left="0.7" right="0.7" top="0.75" bottom="0.75" header="0.3" footer="0.3"/>
  <pageSetup paperSize="9" scale="6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33CB5-81AD-8A43-AC91-2FD873599C65}">
  <dimension ref="B2:I42"/>
  <sheetViews>
    <sheetView zoomScaleNormal="100" workbookViewId="0">
      <selection activeCell="F3" sqref="F3"/>
    </sheetView>
  </sheetViews>
  <sheetFormatPr baseColWidth="10" defaultRowHeight="20"/>
  <cols>
    <col min="1" max="1" width="10.7109375" style="1"/>
    <col min="2" max="2" width="17.28515625" style="1" customWidth="1"/>
    <col min="3" max="3" width="17" style="1" customWidth="1"/>
    <col min="4" max="4" width="13" style="1" customWidth="1"/>
    <col min="5" max="8" width="10.7109375" style="1"/>
    <col min="9" max="9" width="90.5703125" style="1" customWidth="1"/>
    <col min="10" max="16384" width="10.7109375" style="1"/>
  </cols>
  <sheetData>
    <row r="2" spans="2:9" ht="23">
      <c r="B2" s="33" t="s">
        <v>110</v>
      </c>
      <c r="C2" s="1" t="s">
        <v>97</v>
      </c>
      <c r="D2" s="43" t="s">
        <v>183</v>
      </c>
      <c r="E2" s="43"/>
      <c r="I2" s="1" t="s">
        <v>112</v>
      </c>
    </row>
    <row r="3" spans="2:9">
      <c r="C3" s="1" t="s">
        <v>98</v>
      </c>
      <c r="D3" s="1" t="str">
        <f>VLOOKUP($D$2,特効計算用!$A$4:$F$7,2,)&amp;""</f>
        <v>★5</v>
      </c>
      <c r="E3" s="40"/>
      <c r="F3" s="1" t="str">
        <f t="shared" ref="F3:F6" si="0">IF(D3="","","枚")</f>
        <v>枚</v>
      </c>
      <c r="G3" s="25">
        <f>IFERROR(VLOOKUP($E3,特効計算用!$A$9:$K$16,VLOOKUP(特効計算!$D$2,特効計算用!$A$4:$H$7,8,)+VLOOKUP($D3,特効計算用!$A$18:$B$20,2,),),"")</f>
        <v>0</v>
      </c>
      <c r="I3" s="1" t="s">
        <v>127</v>
      </c>
    </row>
    <row r="4" spans="2:9">
      <c r="D4" s="1" t="str">
        <f>VLOOKUP($D$2,特効計算用!$A$4:$F$7,3,)&amp;""</f>
        <v>★4</v>
      </c>
      <c r="E4" s="40"/>
      <c r="F4" s="1" t="str">
        <f t="shared" si="0"/>
        <v>枚</v>
      </c>
      <c r="G4" s="25">
        <f>IFERROR(VLOOKUP($E4,特効計算用!$A$9:$K$16,VLOOKUP(特効計算!$D$2,特効計算用!$A$4:$H$7,8,)+VLOOKUP($D4,特効計算用!$A$18:$B$20,2,),),"")</f>
        <v>0</v>
      </c>
    </row>
    <row r="5" spans="2:9">
      <c r="D5" s="1" t="str">
        <f>VLOOKUP($D$2,特効計算用!$A$4:$F$7,4,)&amp;""</f>
        <v>★3</v>
      </c>
      <c r="E5" s="40"/>
      <c r="F5" s="1" t="str">
        <f t="shared" si="0"/>
        <v>枚</v>
      </c>
      <c r="G5" s="25">
        <f>IFERROR(VLOOKUP($E5,特効計算用!$A$9:$K$16,VLOOKUP(特効計算!$D$2,特効計算用!$A$4:$H$7,8,)+VLOOKUP($D5,特効計算用!$A$18:$B$20,2,),),"")</f>
        <v>0</v>
      </c>
      <c r="I5" s="1" t="s">
        <v>113</v>
      </c>
    </row>
    <row r="6" spans="2:9">
      <c r="D6" s="1" t="str">
        <f>VLOOKUP($D$2,特効計算用!$A$4:$F$7,5,)&amp;""</f>
        <v>★3</v>
      </c>
      <c r="E6" s="40"/>
      <c r="F6" s="1" t="str">
        <f t="shared" si="0"/>
        <v>枚</v>
      </c>
      <c r="G6" s="25">
        <f>IFERROR(VLOOKUP($E6,特効計算用!$A$9:$K$16,VLOOKUP(特効計算!$D$2,特効計算用!$A$4:$H$7,8,)+VLOOKUP($D6,特効計算用!$A$18:$B$20,2,),),"")</f>
        <v>0</v>
      </c>
    </row>
    <row r="7" spans="2:9">
      <c r="D7" s="1" t="str">
        <f>VLOOKUP($D$2,特効計算用!$A$4:$F$7,6,)&amp;""</f>
        <v>★3</v>
      </c>
      <c r="E7" s="40"/>
      <c r="F7" s="1" t="str">
        <f>IF(D7="","","枚")</f>
        <v>枚</v>
      </c>
      <c r="G7" s="25">
        <f>IFERROR(VLOOKUP($E7,特効計算用!$A$9:$K$16,VLOOKUP(特効計算!$D$2,特効計算用!$A$4:$H$7,8,)+VLOOKUP($D7,特効計算用!$A$18:$B$20,2,),),"")</f>
        <v>0</v>
      </c>
    </row>
    <row r="8" spans="2:9">
      <c r="F8" s="1" t="s">
        <v>46</v>
      </c>
      <c r="G8" s="25">
        <f>SUM(G3:G7)</f>
        <v>0</v>
      </c>
      <c r="I8" s="1" t="s">
        <v>126</v>
      </c>
    </row>
    <row r="9" spans="2:9">
      <c r="I9" s="1" t="s">
        <v>128</v>
      </c>
    </row>
    <row r="10" spans="2:9">
      <c r="C10" s="1" t="s">
        <v>97</v>
      </c>
      <c r="D10" s="43" t="s">
        <v>183</v>
      </c>
      <c r="E10" s="43"/>
      <c r="I10" s="1" t="s">
        <v>129</v>
      </c>
    </row>
    <row r="11" spans="2:9">
      <c r="C11" s="1" t="s">
        <v>98</v>
      </c>
      <c r="D11" s="1" t="str">
        <f>VLOOKUP($D$10,特効計算用!$A$4:$F$7,2,)&amp;""</f>
        <v>★5</v>
      </c>
      <c r="E11" s="40"/>
      <c r="F11" s="1" t="str">
        <f t="shared" ref="F11:F14" si="1">IF(D11="","","枚")</f>
        <v>枚</v>
      </c>
      <c r="G11" s="25">
        <f>IFERROR(VLOOKUP($E11,特効計算用!$A$9:$K$16,VLOOKUP(特効計算!$D$10,特効計算用!$A$4:$H$7,8,)+VLOOKUP($D11,特効計算用!$A$18:$B$20,2,),),"")</f>
        <v>0</v>
      </c>
      <c r="I11" s="1" t="s">
        <v>130</v>
      </c>
    </row>
    <row r="12" spans="2:9">
      <c r="D12" s="1" t="str">
        <f>VLOOKUP($D$10,特効計算用!$A$4:$F$7,3,)&amp;""</f>
        <v>★4</v>
      </c>
      <c r="E12" s="40"/>
      <c r="F12" s="1" t="str">
        <f t="shared" si="1"/>
        <v>枚</v>
      </c>
      <c r="G12" s="25">
        <f>IFERROR(VLOOKUP($E12,特効計算用!$A$9:$K$16,VLOOKUP(特効計算!$D$10,特効計算用!$A$4:$H$7,8,)+VLOOKUP($D12,特効計算用!$A$18:$B$20,2,),),"")</f>
        <v>0</v>
      </c>
      <c r="I12" s="1" t="s">
        <v>131</v>
      </c>
    </row>
    <row r="13" spans="2:9">
      <c r="D13" s="1" t="str">
        <f>VLOOKUP($D$10,特効計算用!$A$4:$F$7,4,)&amp;""</f>
        <v>★3</v>
      </c>
      <c r="E13" s="40"/>
      <c r="F13" s="1" t="str">
        <f t="shared" si="1"/>
        <v>枚</v>
      </c>
      <c r="G13" s="25">
        <f>IFERROR(VLOOKUP($E13,特効計算用!$A$9:$K$16,VLOOKUP(特効計算!$D$10,特効計算用!$A$4:$H$7,8,)+VLOOKUP($D13,特効計算用!$A$18:$B$20,2,),),"")</f>
        <v>0</v>
      </c>
      <c r="I13" s="1" t="s">
        <v>132</v>
      </c>
    </row>
    <row r="14" spans="2:9">
      <c r="D14" s="1" t="str">
        <f>VLOOKUP($D$10,特効計算用!$A$4:$F$7,5,)&amp;""</f>
        <v>★3</v>
      </c>
      <c r="E14" s="40"/>
      <c r="F14" s="1" t="str">
        <f t="shared" si="1"/>
        <v>枚</v>
      </c>
      <c r="G14" s="25">
        <f>IFERROR(VLOOKUP($E14,特効計算用!$A$9:$K$16,VLOOKUP(特効計算!$D$10,特効計算用!$A$4:$H$7,8,)+VLOOKUP($D14,特効計算用!$A$18:$B$20,2,),),"")</f>
        <v>0</v>
      </c>
      <c r="I14" s="1" t="s">
        <v>133</v>
      </c>
    </row>
    <row r="15" spans="2:9">
      <c r="D15" s="1" t="str">
        <f>VLOOKUP($D$10,特効計算用!$A$4:$F$7,6,)&amp;""</f>
        <v>★3</v>
      </c>
      <c r="E15" s="40"/>
      <c r="F15" s="1" t="str">
        <f>IF(D15="","","枚")</f>
        <v>枚</v>
      </c>
      <c r="G15" s="25">
        <f>IFERROR(VLOOKUP($E15,特効計算用!$A$9:$K$16,VLOOKUP(特効計算!$D$10,特効計算用!$A$4:$H$7,8,)+VLOOKUP($D15,特効計算用!$A$18:$B$20,2,),),"")</f>
        <v>0</v>
      </c>
      <c r="I15" s="1" t="s">
        <v>134</v>
      </c>
    </row>
    <row r="16" spans="2:9">
      <c r="F16" s="1" t="s">
        <v>46</v>
      </c>
      <c r="G16" s="25">
        <f>SUM(G11:G15)</f>
        <v>0</v>
      </c>
      <c r="I16" s="1" t="s">
        <v>135</v>
      </c>
    </row>
    <row r="18" spans="2:9" ht="24" customHeight="1">
      <c r="C18" s="33"/>
      <c r="D18" s="34" t="s">
        <v>103</v>
      </c>
      <c r="E18" s="35">
        <f>COUNTIF(G3:G7,"&gt;=0.01")+COUNTIF(G11:G15,"&gt;=0.01")</f>
        <v>0</v>
      </c>
      <c r="F18" s="33" t="s">
        <v>53</v>
      </c>
      <c r="I18" s="1" t="s">
        <v>140</v>
      </c>
    </row>
    <row r="19" spans="2:9" ht="23">
      <c r="C19" s="33"/>
      <c r="D19" s="34" t="s">
        <v>109</v>
      </c>
      <c r="E19" s="36">
        <f>(G8+G16)*100</f>
        <v>0</v>
      </c>
      <c r="F19" s="33" t="s">
        <v>3</v>
      </c>
      <c r="I19" s="1" t="s">
        <v>136</v>
      </c>
    </row>
    <row r="20" spans="2:9">
      <c r="E20" s="1" t="str">
        <f>IF($E$18&gt;7,"編成カードの枚数が多すぎます","")</f>
        <v/>
      </c>
      <c r="I20" s="1" t="s">
        <v>137</v>
      </c>
    </row>
    <row r="22" spans="2:9">
      <c r="I22" s="1" t="s">
        <v>138</v>
      </c>
    </row>
    <row r="23" spans="2:9">
      <c r="I23" s="1" t="s">
        <v>139</v>
      </c>
    </row>
    <row r="24" spans="2:9" ht="23">
      <c r="B24" s="33" t="s">
        <v>111</v>
      </c>
      <c r="C24" s="1" t="s">
        <v>97</v>
      </c>
      <c r="D24" s="43" t="s">
        <v>183</v>
      </c>
      <c r="E24" s="43"/>
    </row>
    <row r="25" spans="2:9">
      <c r="C25" s="1" t="s">
        <v>98</v>
      </c>
      <c r="D25" s="1" t="str">
        <f>VLOOKUP($D$24,特効計算用!$A$4:$F$7,2,)&amp;""</f>
        <v>★5</v>
      </c>
      <c r="E25" s="40"/>
      <c r="F25" s="1" t="str">
        <f t="shared" ref="F25:F28" si="2">IF(D25="","","枚")</f>
        <v>枚</v>
      </c>
      <c r="G25" s="25">
        <f>IFERROR(VLOOKUP($E25,特効計算用!$A$9:$K$16,VLOOKUP(特効計算!$D$24,特効計算用!$A$4:$H$7,8,)+VLOOKUP($D25,特効計算用!$A$18:$B$20,2,),),"")</f>
        <v>0</v>
      </c>
    </row>
    <row r="26" spans="2:9">
      <c r="D26" s="1" t="str">
        <f>VLOOKUP($D$24,特効計算用!$A$4:$F$7,3,)&amp;""</f>
        <v>★4</v>
      </c>
      <c r="E26" s="40"/>
      <c r="F26" s="1" t="str">
        <f t="shared" si="2"/>
        <v>枚</v>
      </c>
      <c r="G26" s="25">
        <f>IFERROR(VLOOKUP($E26,特効計算用!$A$9:$K$16,VLOOKUP(特効計算!$D$24,特効計算用!$A$4:$H$7,8,)+VLOOKUP($D26,特効計算用!$A$18:$B$20,2,),),"")</f>
        <v>0</v>
      </c>
    </row>
    <row r="27" spans="2:9">
      <c r="D27" s="1" t="str">
        <f>VLOOKUP($D$24,特効計算用!$A$4:$F$7,4,)&amp;""</f>
        <v>★3</v>
      </c>
      <c r="E27" s="40"/>
      <c r="F27" s="1" t="str">
        <f t="shared" si="2"/>
        <v>枚</v>
      </c>
      <c r="G27" s="25">
        <f>IFERROR(VLOOKUP($E27,特効計算用!$A$9:$K$16,VLOOKUP(特効計算!$D$24,特効計算用!$A$4:$H$7,8,)+VLOOKUP($D27,特効計算用!$A$18:$B$20,2,),),"")</f>
        <v>0</v>
      </c>
    </row>
    <row r="28" spans="2:9">
      <c r="D28" s="1" t="str">
        <f>VLOOKUP($D$24,特効計算用!$A$4:$F$7,5,)&amp;""</f>
        <v>★3</v>
      </c>
      <c r="E28" s="40"/>
      <c r="F28" s="1" t="str">
        <f t="shared" si="2"/>
        <v>枚</v>
      </c>
      <c r="G28" s="25">
        <f>IFERROR(VLOOKUP($E28,特効計算用!$A$9:$K$16,VLOOKUP(特効計算!$D$24,特効計算用!$A$4:$H$7,8,)+VLOOKUP($D28,特効計算用!$A$18:$B$20,2,),),"")</f>
        <v>0</v>
      </c>
    </row>
    <row r="29" spans="2:9">
      <c r="D29" s="1" t="str">
        <f>VLOOKUP($D$24,特効計算用!$A$4:$F$7,6,)&amp;""</f>
        <v>★3</v>
      </c>
      <c r="E29" s="40"/>
      <c r="F29" s="1" t="str">
        <f>IF(D29="","","枚")</f>
        <v>枚</v>
      </c>
      <c r="G29" s="25">
        <f>IFERROR(VLOOKUP($E29,特効計算用!$A$9:$K$16,VLOOKUP(特効計算!$D$24,特効計算用!$A$4:$H$7,8,)+VLOOKUP($D29,特効計算用!$A$18:$B$20,2,),),"")</f>
        <v>0</v>
      </c>
    </row>
    <row r="30" spans="2:9">
      <c r="F30" s="1" t="s">
        <v>46</v>
      </c>
      <c r="G30" s="25">
        <f>SUM(G25:G29)</f>
        <v>0</v>
      </c>
    </row>
    <row r="32" spans="2:9">
      <c r="C32" s="1" t="s">
        <v>97</v>
      </c>
      <c r="D32" s="43" t="s">
        <v>183</v>
      </c>
      <c r="E32" s="43"/>
    </row>
    <row r="33" spans="3:7">
      <c r="C33" s="1" t="s">
        <v>98</v>
      </c>
      <c r="D33" s="1" t="str">
        <f>VLOOKUP($D$32,特効計算用!$A$4:$F$7,2,)&amp;""</f>
        <v>★5</v>
      </c>
      <c r="E33" s="40"/>
      <c r="F33" s="1" t="str">
        <f t="shared" ref="F33:F36" si="3">IF(D33="","","枚")</f>
        <v>枚</v>
      </c>
      <c r="G33" s="25">
        <f>IFERROR(VLOOKUP($E33,特効計算用!$A$9:$K$16,VLOOKUP(特効計算!$D$32,特効計算用!$A$4:$H$7,8,)+VLOOKUP($D33,特効計算用!$A$18:$B$20,2,),),"")</f>
        <v>0</v>
      </c>
    </row>
    <row r="34" spans="3:7">
      <c r="D34" s="1" t="str">
        <f>VLOOKUP($D$32,特効計算用!$A$4:$F$7,3,)&amp;""</f>
        <v>★4</v>
      </c>
      <c r="E34" s="40"/>
      <c r="F34" s="1" t="str">
        <f t="shared" si="3"/>
        <v>枚</v>
      </c>
      <c r="G34" s="25">
        <f>IFERROR(VLOOKUP($E34,特効計算用!$A$9:$K$16,VLOOKUP(特効計算!$D$32,特効計算用!$A$4:$H$7,8,)+VLOOKUP($D34,特効計算用!$A$18:$B$20,2,),),"")</f>
        <v>0</v>
      </c>
    </row>
    <row r="35" spans="3:7">
      <c r="D35" s="1" t="str">
        <f>VLOOKUP($D$32,特効計算用!$A$4:$F$7,4,)&amp;""</f>
        <v>★3</v>
      </c>
      <c r="E35" s="40"/>
      <c r="F35" s="1" t="str">
        <f t="shared" si="3"/>
        <v>枚</v>
      </c>
      <c r="G35" s="25">
        <f>IFERROR(VLOOKUP($E35,特効計算用!$A$9:$K$16,VLOOKUP(特効計算!$D$32,特効計算用!$A$4:$H$7,8,)+VLOOKUP($D35,特効計算用!$A$18:$B$20,2,),),"")</f>
        <v>0</v>
      </c>
    </row>
    <row r="36" spans="3:7">
      <c r="D36" s="1" t="str">
        <f>VLOOKUP($D$32,特効計算用!$A$4:$F$7,5,)&amp;""</f>
        <v>★3</v>
      </c>
      <c r="E36" s="40"/>
      <c r="F36" s="1" t="str">
        <f t="shared" si="3"/>
        <v>枚</v>
      </c>
      <c r="G36" s="25">
        <f>IFERROR(VLOOKUP($E36,特効計算用!$A$9:$K$16,VLOOKUP(特効計算!$D$32,特効計算用!$A$4:$H$7,8,)+VLOOKUP($D36,特効計算用!$A$18:$B$20,2,),),"")</f>
        <v>0</v>
      </c>
    </row>
    <row r="37" spans="3:7">
      <c r="D37" s="1" t="str">
        <f>VLOOKUP($D$32,特効計算用!$A$4:$F$7,6,)&amp;""</f>
        <v>★3</v>
      </c>
      <c r="E37" s="40"/>
      <c r="F37" s="1" t="str">
        <f>IF(D37="","","枚")</f>
        <v>枚</v>
      </c>
      <c r="G37" s="25">
        <f>IFERROR(VLOOKUP($E37,特効計算用!$A$9:$K$16,VLOOKUP(特効計算!$D$32,特効計算用!$A$4:$H$7,8,)+VLOOKUP($D37,特効計算用!$A$18:$B$20,2,),),"")</f>
        <v>0</v>
      </c>
    </row>
    <row r="38" spans="3:7">
      <c r="F38" s="1" t="s">
        <v>46</v>
      </c>
      <c r="G38" s="25">
        <f>SUM(G33:G37)</f>
        <v>0</v>
      </c>
    </row>
    <row r="39" spans="3:7" ht="23">
      <c r="C39" s="32"/>
      <c r="D39" s="32"/>
      <c r="E39" s="32"/>
      <c r="F39" s="32"/>
    </row>
    <row r="40" spans="3:7" ht="23">
      <c r="C40" s="33"/>
      <c r="D40" s="34" t="s">
        <v>103</v>
      </c>
      <c r="E40" s="35">
        <f>COUNTIF(G25:G29,"&gt;=0.01")+COUNTIF(G33:G37,"&gt;=0.01")</f>
        <v>0</v>
      </c>
      <c r="F40" s="33" t="s">
        <v>53</v>
      </c>
    </row>
    <row r="41" spans="3:7" ht="23">
      <c r="C41" s="34"/>
      <c r="D41" s="34" t="s">
        <v>23</v>
      </c>
      <c r="E41" s="36">
        <f>(G30+G38)*100</f>
        <v>0</v>
      </c>
      <c r="F41" s="33" t="s">
        <v>3</v>
      </c>
    </row>
    <row r="42" spans="3:7">
      <c r="E42" s="1" t="str">
        <f>IF($E$40&gt;7,"編成カードの枚数が多すぎます","")</f>
        <v/>
      </c>
    </row>
  </sheetData>
  <sheetProtection sheet="1" objects="1" scenarios="1"/>
  <mergeCells count="4">
    <mergeCell ref="D10:E10"/>
    <mergeCell ref="D2:E2"/>
    <mergeCell ref="D24:E24"/>
    <mergeCell ref="D32:E32"/>
  </mergeCells>
  <phoneticPr fontId="1"/>
  <conditionalFormatting sqref="E3:E7">
    <cfRule type="expression" dxfId="11" priority="9">
      <formula>F3="枚"</formula>
    </cfRule>
  </conditionalFormatting>
  <conditionalFormatting sqref="E11:E15">
    <cfRule type="expression" dxfId="10" priority="7">
      <formula>F11="枚"</formula>
    </cfRule>
  </conditionalFormatting>
  <conditionalFormatting sqref="E18">
    <cfRule type="cellIs" dxfId="9" priority="6" operator="greaterThan">
      <formula>7</formula>
    </cfRule>
  </conditionalFormatting>
  <conditionalFormatting sqref="E25:E29">
    <cfRule type="expression" dxfId="8" priority="5">
      <formula>F25="枚"</formula>
    </cfRule>
  </conditionalFormatting>
  <conditionalFormatting sqref="E33:E37">
    <cfRule type="expression" dxfId="7" priority="4">
      <formula>F33="枚"</formula>
    </cfRule>
  </conditionalFormatting>
  <conditionalFormatting sqref="E40">
    <cfRule type="cellIs" dxfId="6" priority="3" operator="greaterThan">
      <formula>7</formula>
    </cfRule>
  </conditionalFormatting>
  <conditionalFormatting sqref="E19">
    <cfRule type="expression" dxfId="5" priority="2">
      <formula>$E$18&gt;7</formula>
    </cfRule>
  </conditionalFormatting>
  <conditionalFormatting sqref="E41">
    <cfRule type="expression" dxfId="4" priority="1">
      <formula>$E$40&gt;7</formula>
    </cfRule>
  </conditionalFormatting>
  <dataValidations count="2">
    <dataValidation type="whole" imeMode="halfAlpha" allowBlank="1" showInputMessage="1" showErrorMessage="1" errorTitle="カード1種につき最大5枚です" sqref="E3:E7 E11:E15 E25:E29 E33:E37" xr:uid="{0CA695A3-6218-1B4B-989D-1C3A916C1540}">
      <formula1>0</formula1>
      <formula2>5</formula2>
    </dataValidation>
    <dataValidation errorStyle="warning" allowBlank="1" showInputMessage="1" showErrorMessage="1" errorTitle="ライブに編成できるカードは最大7枚です" sqref="E18 E40" xr:uid="{9BF9B6FE-4A14-3143-9D6A-F5D01A3F6670}"/>
  </dataValidations>
  <pageMargins left="0.7" right="0.7" top="0.75" bottom="0.75" header="0.3" footer="0.3"/>
  <pageSetup paperSize="9" scale="42"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30D8E4E6-1BB0-5E4D-9C0D-891A8C0437B8}">
          <x14:formula1>
            <xm:f>特効計算用!$A$4:$A$7</xm:f>
          </x14:formula1>
          <xm:sqref>D2 D10 D24 D32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CADE-F435-B045-ACEF-5B04FDA71E3A}">
  <dimension ref="B1:G44"/>
  <sheetViews>
    <sheetView zoomScaleNormal="100" workbookViewId="0">
      <selection activeCell="D17" sqref="D17"/>
    </sheetView>
  </sheetViews>
  <sheetFormatPr baseColWidth="10" defaultRowHeight="20"/>
  <cols>
    <col min="1" max="1" width="10.7109375" style="11"/>
    <col min="2" max="2" width="27.7109375" style="11" customWidth="1"/>
    <col min="3" max="3" width="12.42578125" style="11" customWidth="1"/>
    <col min="4" max="4" width="18.85546875" style="11" customWidth="1"/>
    <col min="5" max="5" width="12.7109375" style="11" customWidth="1"/>
    <col min="6" max="6" width="15.42578125" style="11" customWidth="1"/>
    <col min="7" max="7" width="21.5703125" style="11" customWidth="1"/>
    <col min="8" max="8" width="79.5703125" style="11" customWidth="1"/>
    <col min="9" max="16384" width="10.7109375" style="11"/>
  </cols>
  <sheetData>
    <row r="1" spans="2:6">
      <c r="B1" s="11" t="s">
        <v>78</v>
      </c>
    </row>
    <row r="3" spans="2:6">
      <c r="B3" s="11" t="s">
        <v>10</v>
      </c>
      <c r="D3" s="37">
        <v>2200</v>
      </c>
      <c r="E3" s="11" t="s">
        <v>11</v>
      </c>
    </row>
    <row r="5" spans="2:6">
      <c r="B5" s="11" t="s">
        <v>1</v>
      </c>
      <c r="D5" s="37">
        <v>300</v>
      </c>
      <c r="E5" s="11" t="s">
        <v>8</v>
      </c>
    </row>
    <row r="6" spans="2:6" ht="21" thickBot="1"/>
    <row r="7" spans="2:6" ht="21" thickBot="1">
      <c r="B7" s="12" t="s">
        <v>22</v>
      </c>
      <c r="D7" s="24"/>
      <c r="E7" s="11" t="s">
        <v>3</v>
      </c>
      <c r="F7" s="11" t="s">
        <v>75</v>
      </c>
    </row>
    <row r="8" spans="2:6">
      <c r="B8" s="12"/>
      <c r="C8" s="11" t="s">
        <v>47</v>
      </c>
      <c r="D8" s="13">
        <f>IF(ISNUMBER(D7)*1,D7/100,特効計算!E19/100)</f>
        <v>0</v>
      </c>
    </row>
    <row r="9" spans="2:6">
      <c r="D9" s="11" t="str">
        <f>IF(特効計算!$E$18&gt;7,"特効編成を見直してください","")</f>
        <v/>
      </c>
    </row>
    <row r="10" spans="2:6">
      <c r="B10" s="11" t="s">
        <v>2</v>
      </c>
      <c r="D10" s="37">
        <v>300</v>
      </c>
      <c r="E10" s="11" t="s">
        <v>8</v>
      </c>
    </row>
    <row r="11" spans="2:6" ht="21" thickBot="1"/>
    <row r="12" spans="2:6" ht="21" thickBot="1">
      <c r="B12" s="12" t="s">
        <v>23</v>
      </c>
      <c r="D12" s="41"/>
      <c r="E12" s="11" t="s">
        <v>3</v>
      </c>
      <c r="F12" s="11" t="s">
        <v>75</v>
      </c>
    </row>
    <row r="13" spans="2:6">
      <c r="B13" s="12"/>
      <c r="C13" s="11" t="s">
        <v>47</v>
      </c>
      <c r="D13" s="13">
        <f>IF(ISNUMBER(D12)*1,D12/100,特効計算!E41/100)</f>
        <v>0</v>
      </c>
    </row>
    <row r="14" spans="2:6">
      <c r="D14" s="11" t="str">
        <f>IF(特効計算!$E$40&gt;7,"特効編成を見直してください","")</f>
        <v/>
      </c>
    </row>
    <row r="15" spans="2:6">
      <c r="B15" s="11" t="s">
        <v>15</v>
      </c>
      <c r="D15" s="37">
        <v>10</v>
      </c>
      <c r="E15" s="11" t="s">
        <v>19</v>
      </c>
    </row>
    <row r="17" spans="2:7">
      <c r="B17" s="11" t="s">
        <v>37</v>
      </c>
      <c r="D17" s="14">
        <f>IFERROR(ROUNDUP(D3*10000/箱イベ計算!D24,0),)</f>
        <v>602</v>
      </c>
      <c r="E17" s="11" t="s">
        <v>36</v>
      </c>
    </row>
    <row r="19" spans="2:7">
      <c r="B19" s="11" t="s">
        <v>40</v>
      </c>
      <c r="D19" s="15">
        <f>IFERROR(D17*3/60,)</f>
        <v>30.1</v>
      </c>
      <c r="E19" s="11" t="s">
        <v>38</v>
      </c>
      <c r="G19" s="16"/>
    </row>
    <row r="20" spans="2:7">
      <c r="G20" s="16"/>
    </row>
    <row r="21" spans="2:7">
      <c r="B21" s="11" t="s">
        <v>82</v>
      </c>
      <c r="D21" s="17">
        <f>ROUNDUP(イベント開始時!D3*10000/箱イベ計算!D21,0)</f>
        <v>6011</v>
      </c>
      <c r="E21" s="11" t="s">
        <v>19</v>
      </c>
    </row>
    <row r="22" spans="2:7">
      <c r="B22" s="11" t="s">
        <v>90</v>
      </c>
      <c r="D22" s="18">
        <f>ROUNDUP(D3*10000/箱イベ計算!D22,0)</f>
        <v>6011</v>
      </c>
      <c r="E22" s="11" t="s">
        <v>19</v>
      </c>
    </row>
    <row r="24" spans="2:7">
      <c r="B24" s="11" t="s">
        <v>50</v>
      </c>
      <c r="D24" s="37">
        <v>40</v>
      </c>
      <c r="E24" s="11" t="s">
        <v>19</v>
      </c>
    </row>
    <row r="25" spans="2:7">
      <c r="B25" s="11" t="s">
        <v>24</v>
      </c>
      <c r="D25" s="37"/>
      <c r="E25" s="11" t="s">
        <v>14</v>
      </c>
    </row>
    <row r="26" spans="2:7">
      <c r="B26" s="19" t="s">
        <v>25</v>
      </c>
      <c r="D26" s="37"/>
      <c r="E26" s="11" t="s">
        <v>14</v>
      </c>
    </row>
    <row r="27" spans="2:7">
      <c r="B27" s="11" t="s">
        <v>26</v>
      </c>
      <c r="D27" s="37"/>
      <c r="E27" s="11" t="s">
        <v>14</v>
      </c>
    </row>
    <row r="28" spans="2:7">
      <c r="B28" s="11" t="s">
        <v>18</v>
      </c>
      <c r="C28" s="20" t="s">
        <v>27</v>
      </c>
      <c r="D28" s="17">
        <f>(D21*2)-(D24*2*8)-(D25*2)-D26-D27</f>
        <v>11382</v>
      </c>
      <c r="E28" s="11" t="s">
        <v>14</v>
      </c>
    </row>
    <row r="29" spans="2:7">
      <c r="B29" s="19"/>
    </row>
    <row r="34" spans="2:7">
      <c r="B34" s="21" t="s">
        <v>41</v>
      </c>
    </row>
    <row r="35" spans="2:7">
      <c r="B35" s="11" t="s">
        <v>42</v>
      </c>
      <c r="D35" s="11">
        <f>MAX(ROUNDDOWN((D22-D21)*2/35,0),0)</f>
        <v>0</v>
      </c>
      <c r="E35" s="11" t="s">
        <v>63</v>
      </c>
    </row>
    <row r="37" spans="2:7">
      <c r="B37" s="11" t="s">
        <v>59</v>
      </c>
      <c r="C37" s="39" t="s">
        <v>55</v>
      </c>
      <c r="D37" s="11">
        <f>箱イベ計算!D32</f>
        <v>601</v>
      </c>
      <c r="E37" s="11" t="s">
        <v>36</v>
      </c>
      <c r="F37" s="22">
        <f>D37*3/1440</f>
        <v>1.2520833333333334</v>
      </c>
    </row>
    <row r="38" spans="2:7">
      <c r="B38" s="11" t="s">
        <v>58</v>
      </c>
      <c r="D38" s="22">
        <f>(D17+D37)*3/1440</f>
        <v>2.5062500000000001</v>
      </c>
    </row>
    <row r="39" spans="2:7">
      <c r="D39" s="22"/>
    </row>
    <row r="40" spans="2:7">
      <c r="B40" s="11" t="s">
        <v>62</v>
      </c>
      <c r="D40" s="23">
        <f>IFERROR(D17*VLOOKUP(D15,箱イベ計算!B1:C6,2,0),)</f>
        <v>24080</v>
      </c>
      <c r="E40" s="11" t="s">
        <v>61</v>
      </c>
      <c r="G40" s="22"/>
    </row>
    <row r="41" spans="2:7">
      <c r="G41" s="22"/>
    </row>
    <row r="42" spans="2:7">
      <c r="B42" s="11" t="s">
        <v>92</v>
      </c>
      <c r="D42" s="27">
        <f>イベント開始時!D21*3+ROUNDDOWN(箱イベ計算!D27/100,0)*10</f>
        <v>24043</v>
      </c>
      <c r="E42" s="11" t="s">
        <v>14</v>
      </c>
    </row>
    <row r="44" spans="2:7">
      <c r="B44" s="11" t="s">
        <v>93</v>
      </c>
      <c r="D44" s="11">
        <f>ROUNDUP(D3/9,0)</f>
        <v>245</v>
      </c>
      <c r="E44" s="11" t="s">
        <v>11</v>
      </c>
    </row>
  </sheetData>
  <sheetProtection sheet="1" objects="1" scenarios="1"/>
  <phoneticPr fontId="1"/>
  <dataValidations count="4">
    <dataValidation type="whole" operator="lessThan" allowBlank="1" showInputMessage="1" showErrorMessage="1" errorTitle="万単位で入力してください" error="入力できるのは999までです" sqref="D5 D10" xr:uid="{6884CCB6-9D74-7B4F-A700-C44F718AE3BD}">
      <formula1>999</formula1>
    </dataValidation>
    <dataValidation type="whole" operator="greaterThan" allowBlank="1" showInputMessage="1" showErrorMessage="1" errorTitle="整数で入力してください" sqref="D3" xr:uid="{9CD23000-2F85-7440-8473-847FB9251E42}">
      <formula1>0</formula1>
    </dataValidation>
    <dataValidation type="whole" allowBlank="1" showInputMessage="1" showErrorMessage="1" errorTitle="整数で入力してください" sqref="D12 D7" xr:uid="{27F915FB-2031-8943-BF70-03298D2F83D3}">
      <formula1>0</formula1>
      <formula2>500</formula2>
    </dataValidation>
    <dataValidation allowBlank="1" showInputMessage="1" showErrorMessage="1" errorTitle="整数で入力してください" sqref="D8 D13" xr:uid="{E8FB9D5C-DF18-3B49-8E45-DB4FB2090ED9}"/>
  </dataValidations>
  <pageMargins left="0.7" right="0.7" top="0.75" bottom="0.75" header="0.3" footer="0.3"/>
  <pageSetup paperSize="9" scale="59" orientation="portrait" horizontalDpi="0" verticalDpi="0"/>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 id="{D880F8B0-2D1A-9C49-B1F0-99ED21AF2F88}">
            <xm:f>特効計算!$E$18&gt;7</xm:f>
            <x14:dxf>
              <font>
                <b/>
                <i val="0"/>
                <color rgb="FF9C0006"/>
              </font>
              <fill>
                <patternFill patternType="none">
                  <bgColor auto="1"/>
                </patternFill>
              </fill>
            </x14:dxf>
          </x14:cfRule>
          <xm:sqref>D8:D9</xm:sqref>
        </x14:conditionalFormatting>
        <x14:conditionalFormatting xmlns:xm="http://schemas.microsoft.com/office/excel/2006/main">
          <x14:cfRule type="expression" priority="1" id="{CAF19262-8C7A-7143-89F7-49701003F195}">
            <xm:f>特効計算!$E$40&gt;7</xm:f>
            <x14:dxf>
              <font>
                <b/>
                <i val="0"/>
                <color rgb="FF9C0006"/>
              </font>
              <fill>
                <patternFill patternType="none">
                  <bgColor auto="1"/>
                </patternFill>
              </fill>
            </x14:dxf>
          </x14:cfRule>
          <xm:sqref>D13:D14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87D4075E-5F4F-C24F-A8AA-0D7653AF40EF}">
          <x14:formula1>
            <xm:f>箱イベ計算!$B$2:$B$6</xm:f>
          </x14:formula1>
          <xm:sqref>D15</xm:sqref>
        </x14:dataValidation>
        <x14:dataValidation type="list" allowBlank="1" showInputMessage="1" showErrorMessage="1" xr:uid="{50CC9733-5967-A64B-B76A-0F666065959E}">
          <x14:formula1>
            <xm:f>箱イベ計算!$D$1:$D$5</xm:f>
          </x14:formula1>
          <xm:sqref>C37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96BBE-794E-3746-9099-EAA3C625AD64}">
  <dimension ref="B1:G34"/>
  <sheetViews>
    <sheetView zoomScaleNormal="100" workbookViewId="0"/>
  </sheetViews>
  <sheetFormatPr baseColWidth="10" defaultRowHeight="20"/>
  <cols>
    <col min="1" max="1" width="10.7109375" style="11"/>
    <col min="2" max="2" width="27.7109375" style="11" customWidth="1"/>
    <col min="3" max="3" width="12.42578125" style="11" customWidth="1"/>
    <col min="4" max="4" width="18.85546875" style="11" customWidth="1"/>
    <col min="5" max="5" width="12.7109375" style="11" customWidth="1"/>
    <col min="6" max="6" width="15.42578125" style="11" customWidth="1"/>
    <col min="7" max="7" width="21.5703125" style="11" customWidth="1"/>
    <col min="8" max="8" width="79.5703125" style="11" customWidth="1"/>
    <col min="9" max="16384" width="10.7109375" style="11"/>
  </cols>
  <sheetData>
    <row r="1" spans="2:6">
      <c r="B1" s="11" t="s">
        <v>78</v>
      </c>
    </row>
    <row r="3" spans="2:6">
      <c r="B3" s="11" t="s">
        <v>10</v>
      </c>
      <c r="D3" s="37"/>
      <c r="E3" s="11" t="s">
        <v>11</v>
      </c>
    </row>
    <row r="5" spans="2:6">
      <c r="B5" s="11" t="s">
        <v>83</v>
      </c>
      <c r="D5" s="37"/>
      <c r="E5" s="11" t="s">
        <v>11</v>
      </c>
    </row>
    <row r="7" spans="2:6">
      <c r="B7" s="11" t="s">
        <v>91</v>
      </c>
      <c r="D7" s="38"/>
      <c r="E7" s="11" t="s">
        <v>53</v>
      </c>
    </row>
    <row r="9" spans="2:6">
      <c r="B9" s="11" t="s">
        <v>1</v>
      </c>
      <c r="D9" s="37"/>
      <c r="E9" s="11" t="s">
        <v>8</v>
      </c>
    </row>
    <row r="10" spans="2:6" ht="21" thickBot="1"/>
    <row r="11" spans="2:6" ht="21" thickBot="1">
      <c r="B11" s="12" t="s">
        <v>22</v>
      </c>
      <c r="D11" s="41"/>
      <c r="E11" s="11" t="s">
        <v>3</v>
      </c>
      <c r="F11" s="11" t="s">
        <v>75</v>
      </c>
    </row>
    <row r="12" spans="2:6">
      <c r="B12" s="12"/>
      <c r="C12" s="11" t="s">
        <v>47</v>
      </c>
      <c r="D12" s="13">
        <f>IF(ISNUMBER(D11)*1,D11/100,特効計算!E19/100)</f>
        <v>0</v>
      </c>
    </row>
    <row r="13" spans="2:6">
      <c r="D13" s="11" t="str">
        <f>IF(特効計算!$E$18&gt;7,"特効編成を見直してください","")</f>
        <v/>
      </c>
    </row>
    <row r="14" spans="2:6">
      <c r="B14" s="11" t="s">
        <v>2</v>
      </c>
      <c r="D14" s="37"/>
      <c r="E14" s="11" t="s">
        <v>8</v>
      </c>
    </row>
    <row r="15" spans="2:6" ht="21" thickBot="1"/>
    <row r="16" spans="2:6" ht="21" thickBot="1">
      <c r="B16" s="12" t="s">
        <v>23</v>
      </c>
      <c r="D16" s="41"/>
      <c r="E16" s="11" t="s">
        <v>3</v>
      </c>
      <c r="F16" s="11" t="s">
        <v>75</v>
      </c>
    </row>
    <row r="17" spans="2:7">
      <c r="B17" s="12"/>
      <c r="C17" s="11" t="s">
        <v>47</v>
      </c>
      <c r="D17" s="13">
        <f>IF(ISNUMBER(D16)*1,D16/100,特効計算!E41/100)</f>
        <v>0</v>
      </c>
    </row>
    <row r="18" spans="2:7">
      <c r="D18" s="11" t="str">
        <f>IF(特効計算!$E$40&gt;7,"特効編成を見直してください","")</f>
        <v/>
      </c>
    </row>
    <row r="19" spans="2:7">
      <c r="B19" s="11" t="s">
        <v>15</v>
      </c>
      <c r="D19" s="37"/>
      <c r="E19" s="11" t="s">
        <v>19</v>
      </c>
    </row>
    <row r="21" spans="2:7">
      <c r="B21" s="11" t="s">
        <v>37</v>
      </c>
      <c r="D21" s="14">
        <f>IFERROR(ROUNDUP(箱イベ計算2!D5/箱イベ計算2!D22,0),)</f>
        <v>0</v>
      </c>
      <c r="E21" s="11" t="s">
        <v>36</v>
      </c>
    </row>
    <row r="23" spans="2:7">
      <c r="B23" s="11" t="s">
        <v>40</v>
      </c>
      <c r="D23" s="15">
        <f>IFERROR(D21*3/60,)</f>
        <v>0</v>
      </c>
      <c r="E23" s="11" t="s">
        <v>38</v>
      </c>
      <c r="G23" s="16"/>
    </row>
    <row r="24" spans="2:7">
      <c r="G24" s="16"/>
    </row>
    <row r="25" spans="2:7">
      <c r="B25" s="11" t="s">
        <v>89</v>
      </c>
      <c r="D25" s="17">
        <f>ROUNDUP(箱イベ計算2!D5/箱イベ計算2!D19,0)</f>
        <v>0</v>
      </c>
      <c r="E25" s="11" t="s">
        <v>19</v>
      </c>
    </row>
    <row r="26" spans="2:7">
      <c r="B26" s="11" t="s">
        <v>122</v>
      </c>
      <c r="D26" s="11">
        <f>D25*2</f>
        <v>0</v>
      </c>
      <c r="E26" s="11" t="s">
        <v>14</v>
      </c>
    </row>
    <row r="29" spans="2:7">
      <c r="B29" s="21" t="s">
        <v>41</v>
      </c>
    </row>
    <row r="30" spans="2:7">
      <c r="B30" s="11" t="s">
        <v>59</v>
      </c>
      <c r="C30" s="39" t="s">
        <v>55</v>
      </c>
      <c r="D30" s="11">
        <f>箱イベ計算2!D30</f>
        <v>0</v>
      </c>
      <c r="E30" s="11" t="s">
        <v>36</v>
      </c>
      <c r="F30" s="22">
        <f>D30*3/1440</f>
        <v>0</v>
      </c>
    </row>
    <row r="31" spans="2:7">
      <c r="B31" s="11" t="s">
        <v>94</v>
      </c>
      <c r="D31" s="22">
        <f>(D21+D30)*3/1440</f>
        <v>0</v>
      </c>
    </row>
    <row r="32" spans="2:7">
      <c r="D32" s="22"/>
    </row>
    <row r="33" spans="2:7">
      <c r="B33" s="11" t="s">
        <v>62</v>
      </c>
      <c r="D33" s="23">
        <f>IFERROR(D21*VLOOKUP(D19,箱イベ計算!B1:C6,2,0),)</f>
        <v>0</v>
      </c>
      <c r="E33" s="11" t="s">
        <v>61</v>
      </c>
      <c r="G33" s="22"/>
    </row>
    <row r="34" spans="2:7">
      <c r="G34" s="22"/>
    </row>
  </sheetData>
  <sheetProtection sheet="1" objects="1" scenarios="1"/>
  <phoneticPr fontId="1"/>
  <dataValidations count="4">
    <dataValidation type="whole" allowBlank="1" showInputMessage="1" showErrorMessage="1" errorTitle="整数で入力してください" sqref="D16 D11" xr:uid="{6869AB30-9C9D-864F-8778-624906A6E2F2}">
      <formula1>0</formula1>
      <formula2>500</formula2>
    </dataValidation>
    <dataValidation type="whole" operator="greaterThan" allowBlank="1" showInputMessage="1" showErrorMessage="1" errorTitle="整数で入力してください" sqref="D3 D5 D7" xr:uid="{1A2537E1-9418-224D-9534-22F5F1CFD5A7}">
      <formula1>0</formula1>
    </dataValidation>
    <dataValidation type="whole" operator="lessThan" allowBlank="1" showInputMessage="1" showErrorMessage="1" errorTitle="万単位で入力してください" error="入力できるのは999までです" sqref="D9 D14" xr:uid="{C2E6C2E0-FB6F-0B46-8140-8A0A480C2985}">
      <formula1>999</formula1>
    </dataValidation>
    <dataValidation allowBlank="1" showInputMessage="1" showErrorMessage="1" errorTitle="整数で入力してください" sqref="D12 D17" xr:uid="{CAD6EC5B-5AE5-4748-966E-EBE13F6C4B9F}"/>
  </dataValidations>
  <pageMargins left="0.7" right="0.7" top="0.75" bottom="0.75" header="0.3" footer="0.3"/>
  <pageSetup paperSize="9" scale="59" orientation="portrait" horizontalDpi="0" verticalDpi="0"/>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 id="{E10FDD6D-9EE8-1F40-B72B-02EB48E7DFC7}">
            <xm:f>特効計算!$E$18&gt;7</xm:f>
            <x14:dxf>
              <font>
                <b/>
                <i val="0"/>
                <color rgb="FFC00000"/>
              </font>
            </x14:dxf>
          </x14:cfRule>
          <xm:sqref>D19 D12:D13</xm:sqref>
        </x14:conditionalFormatting>
        <x14:conditionalFormatting xmlns:xm="http://schemas.microsoft.com/office/excel/2006/main">
          <x14:cfRule type="expression" priority="1" id="{9B399294-1222-094F-9F86-DEBEFE01EA70}">
            <xm:f>特効計算!$E$40&gt;7</xm:f>
            <x14:dxf>
              <font>
                <b/>
                <i val="0"/>
                <color rgb="FF9C0006"/>
              </font>
              <fill>
                <patternFill patternType="none">
                  <bgColor auto="1"/>
                </patternFill>
              </fill>
            </x14:dxf>
          </x14:cfRule>
          <xm:sqref>D17:D18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D35D3FC7-1394-B541-9F74-2821CB858D3B}">
          <x14:formula1>
            <xm:f>箱イベ計算!$D$1:$D$5</xm:f>
          </x14:formula1>
          <xm:sqref>C30</xm:sqref>
        </x14:dataValidation>
        <x14:dataValidation type="list" allowBlank="1" showInputMessage="1" showErrorMessage="1" xr:uid="{444EBE7F-283B-F841-9F3B-63D4B64E6E67}">
          <x14:formula1>
            <xm:f>箱イベ計算!$B$2:$B$6</xm:f>
          </x14:formula1>
          <xm:sqref>D19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078EB-CD75-334C-8348-D59D7981BE60}">
  <dimension ref="B2:K10"/>
  <sheetViews>
    <sheetView zoomScaleNormal="100" workbookViewId="0"/>
  </sheetViews>
  <sheetFormatPr baseColWidth="10" defaultRowHeight="20"/>
  <cols>
    <col min="1" max="1" width="10.7109375" style="11"/>
    <col min="2" max="2" width="18.28515625" style="11" customWidth="1"/>
    <col min="3" max="16384" width="10.7109375" style="11"/>
  </cols>
  <sheetData>
    <row r="2" spans="2:11">
      <c r="B2" s="11" t="s">
        <v>108</v>
      </c>
      <c r="C2" s="42"/>
      <c r="D2" s="11" t="s">
        <v>146</v>
      </c>
    </row>
    <row r="3" spans="2:11">
      <c r="K3" s="20" t="s">
        <v>145</v>
      </c>
    </row>
    <row r="4" spans="2:11">
      <c r="B4" s="56"/>
      <c r="C4" s="57">
        <f ca="1">IF(C2="",TODAY(),C2)</f>
        <v>45549</v>
      </c>
      <c r="D4" s="57">
        <f ca="1">C4+1</f>
        <v>45550</v>
      </c>
      <c r="E4" s="57">
        <f t="shared" ref="E4:K4" ca="1" si="0">D4+1</f>
        <v>45551</v>
      </c>
      <c r="F4" s="57">
        <f t="shared" ca="1" si="0"/>
        <v>45552</v>
      </c>
      <c r="G4" s="57">
        <f t="shared" ca="1" si="0"/>
        <v>45553</v>
      </c>
      <c r="H4" s="57">
        <f t="shared" ca="1" si="0"/>
        <v>45554</v>
      </c>
      <c r="I4" s="57">
        <f t="shared" ca="1" si="0"/>
        <v>45555</v>
      </c>
      <c r="J4" s="57">
        <f t="shared" ca="1" si="0"/>
        <v>45556</v>
      </c>
      <c r="K4" s="57">
        <f t="shared" ca="1" si="0"/>
        <v>45557</v>
      </c>
    </row>
    <row r="5" spans="2:11">
      <c r="B5" s="56" t="s">
        <v>107</v>
      </c>
      <c r="C5" s="58">
        <f>イベント開始時!$D$3*1/9</f>
        <v>244.44444444444446</v>
      </c>
      <c r="D5" s="58">
        <f>イベント開始時!$D$3*2/9</f>
        <v>488.88888888888891</v>
      </c>
      <c r="E5" s="58">
        <f>イベント開始時!$D$3*3/9</f>
        <v>733.33333333333337</v>
      </c>
      <c r="F5" s="58">
        <f>イベント開始時!$D$3*4/9</f>
        <v>977.77777777777783</v>
      </c>
      <c r="G5" s="58">
        <f>イベント開始時!$D$3*5/9</f>
        <v>1222.2222222222222</v>
      </c>
      <c r="H5" s="58">
        <f>イベント開始時!$D$3*6/9</f>
        <v>1466.6666666666667</v>
      </c>
      <c r="I5" s="58">
        <f>イベント開始時!$D$3*7/9</f>
        <v>1711.1111111111111</v>
      </c>
      <c r="J5" s="58">
        <f>イベント開始時!$D$3*8/9</f>
        <v>1955.5555555555557</v>
      </c>
      <c r="K5" s="58">
        <f>イベント開始時!$D$3*9/9</f>
        <v>2200</v>
      </c>
    </row>
    <row r="6" spans="2:11">
      <c r="B6" s="56" t="s">
        <v>150</v>
      </c>
      <c r="C6" s="37"/>
      <c r="D6" s="37"/>
      <c r="E6" s="37"/>
      <c r="F6" s="37"/>
      <c r="G6" s="37"/>
      <c r="H6" s="37"/>
      <c r="I6" s="37"/>
      <c r="J6" s="37"/>
      <c r="K6" s="37"/>
    </row>
    <row r="7" spans="2:11">
      <c r="B7" s="56" t="s">
        <v>151</v>
      </c>
      <c r="C7" s="37"/>
      <c r="D7" s="37"/>
      <c r="E7" s="37"/>
      <c r="F7" s="37"/>
      <c r="G7" s="37"/>
      <c r="H7" s="37"/>
      <c r="I7" s="37"/>
      <c r="J7" s="37"/>
      <c r="K7" s="37"/>
    </row>
    <row r="8" spans="2:11">
      <c r="B8" s="56" t="s">
        <v>152</v>
      </c>
      <c r="C8" s="59">
        <f>ROUNDDOWN(ROUNDDOWN(C7/100,0)*箱イベ計算!$D$17/10000,0)+イベント進捗!C6</f>
        <v>0</v>
      </c>
      <c r="D8" s="59">
        <f>ROUNDDOWN(ROUNDDOWN(D7/100,0)*箱イベ計算!$D$17/10000,0)+イベント進捗!D6</f>
        <v>0</v>
      </c>
      <c r="E8" s="59">
        <f>ROUNDDOWN(ROUNDDOWN(E7/100,0)*箱イベ計算!$D$17/10000,0)+イベント進捗!E6</f>
        <v>0</v>
      </c>
      <c r="F8" s="59">
        <f>ROUNDDOWN(ROUNDDOWN(F7/100,0)*箱イベ計算!$D$17/10000,0)+イベント進捗!F6</f>
        <v>0</v>
      </c>
      <c r="G8" s="59">
        <f>ROUNDDOWN(ROUNDDOWN(G7/100,0)*箱イベ計算!$D$17/10000,0)+イベント進捗!G6</f>
        <v>0</v>
      </c>
      <c r="H8" s="59">
        <f>ROUNDDOWN(ROUNDDOWN(H7/100,0)*箱イベ計算!$D$17/10000,0)+イベント進捗!H6</f>
        <v>0</v>
      </c>
      <c r="I8" s="59">
        <f>ROUNDDOWN(ROUNDDOWN(I7/100,0)*箱イベ計算!$D$17/10000,0)+イベント進捗!I6</f>
        <v>0</v>
      </c>
      <c r="J8" s="59">
        <f>ROUNDDOWN(ROUNDDOWN(J7/100,0)*箱イベ計算!$D$17/10000,0)+イベント進捗!J6</f>
        <v>0</v>
      </c>
      <c r="K8" s="59">
        <f>ROUNDDOWN(ROUNDDOWN(K7/100,0)*箱イベ計算!$D$17/10000,0)+イベント進捗!K6</f>
        <v>0</v>
      </c>
    </row>
    <row r="9" spans="2:11">
      <c r="B9" s="56" t="s">
        <v>180</v>
      </c>
      <c r="C9" s="60">
        <f>C8-C5</f>
        <v>-244.44444444444446</v>
      </c>
      <c r="D9" s="60">
        <f t="shared" ref="D9:K9" si="1">D8-D5</f>
        <v>-488.88888888888891</v>
      </c>
      <c r="E9" s="60">
        <f t="shared" si="1"/>
        <v>-733.33333333333337</v>
      </c>
      <c r="F9" s="60">
        <f t="shared" si="1"/>
        <v>-977.77777777777783</v>
      </c>
      <c r="G9" s="60">
        <f t="shared" si="1"/>
        <v>-1222.2222222222222</v>
      </c>
      <c r="H9" s="60">
        <f t="shared" si="1"/>
        <v>-1466.6666666666667</v>
      </c>
      <c r="I9" s="60">
        <f t="shared" si="1"/>
        <v>-1711.1111111111111</v>
      </c>
      <c r="J9" s="60">
        <f t="shared" si="1"/>
        <v>-1955.5555555555557</v>
      </c>
      <c r="K9" s="60">
        <f t="shared" si="1"/>
        <v>-2200</v>
      </c>
    </row>
    <row r="10" spans="2:11">
      <c r="B10" s="56" t="s">
        <v>181</v>
      </c>
      <c r="C10" s="60">
        <f>C8-イベント開始時!$D$3</f>
        <v>-2200</v>
      </c>
      <c r="D10" s="60">
        <f>D8-イベント開始時!$D$3</f>
        <v>-2200</v>
      </c>
      <c r="E10" s="60">
        <f>E8-イベント開始時!$D$3</f>
        <v>-2200</v>
      </c>
      <c r="F10" s="60">
        <f>F8-イベント開始時!$D$3</f>
        <v>-2200</v>
      </c>
      <c r="G10" s="60">
        <f>G8-イベント開始時!$D$3</f>
        <v>-2200</v>
      </c>
      <c r="H10" s="60">
        <f>H8-イベント開始時!$D$3</f>
        <v>-2200</v>
      </c>
      <c r="I10" s="60">
        <f>I8-イベント開始時!$D$3</f>
        <v>-2200</v>
      </c>
      <c r="J10" s="60">
        <f>J8-イベント開始時!$D$3</f>
        <v>-2200</v>
      </c>
      <c r="K10" s="60">
        <f>K8-イベント開始時!$D$3</f>
        <v>-2200</v>
      </c>
    </row>
  </sheetData>
  <sheetProtection sheet="1" objects="1" scenarios="1"/>
  <phoneticPr fontId="1"/>
  <dataValidations count="2">
    <dataValidation type="date" imeMode="disabled" allowBlank="1" showInputMessage="1" showErrorMessage="1" errorTitle="イベント開始日を入力してください" sqref="C2" xr:uid="{29166ABA-F786-CB45-93AA-D49EA0FA441C}">
      <formula1>43831</formula1>
      <formula2>73050</formula2>
    </dataValidation>
    <dataValidation imeMode="halfAlpha" allowBlank="1" showInputMessage="1" showErrorMessage="1" sqref="C6:K8" xr:uid="{B50093BA-B29F-2A48-B262-6F79CC0F6F35}"/>
  </dataValidations>
  <pageMargins left="0.7" right="0.7" top="0.75" bottom="0.75" header="0.3" footer="0.3"/>
  <pageSetup paperSize="9" scale="57" orientation="portrait" horizontalDpi="0" verticalDpi="0"/>
  <ignoredErrors>
    <ignoredError sqref="C8 D8:K8" unlockedFormula="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1091-FF5E-7C4A-AE8A-21359CB7B0A7}">
  <dimension ref="A2:G40"/>
  <sheetViews>
    <sheetView workbookViewId="0"/>
  </sheetViews>
  <sheetFormatPr baseColWidth="10" defaultRowHeight="20"/>
  <cols>
    <col min="2" max="5" width="15" customWidth="1"/>
  </cols>
  <sheetData>
    <row r="2" spans="2:5">
      <c r="B2" s="28" t="s">
        <v>96</v>
      </c>
    </row>
    <row r="3" spans="2:5">
      <c r="B3" s="7" t="s">
        <v>28</v>
      </c>
      <c r="C3" s="7" t="s">
        <v>31</v>
      </c>
      <c r="D3" s="7" t="s">
        <v>30</v>
      </c>
      <c r="E3" s="7" t="s">
        <v>29</v>
      </c>
    </row>
    <row r="4" spans="2:5">
      <c r="B4" s="3" t="s">
        <v>20</v>
      </c>
      <c r="C4" s="4">
        <v>0.2</v>
      </c>
      <c r="D4" s="4">
        <v>0.05</v>
      </c>
      <c r="E4" s="4">
        <v>0.01</v>
      </c>
    </row>
    <row r="5" spans="2:5">
      <c r="B5" s="3" t="s">
        <v>32</v>
      </c>
      <c r="C5" s="4">
        <v>0.5</v>
      </c>
      <c r="D5" s="4">
        <v>0.15</v>
      </c>
      <c r="E5" s="4">
        <v>0.02</v>
      </c>
    </row>
    <row r="6" spans="2:5">
      <c r="B6" s="3" t="s">
        <v>33</v>
      </c>
      <c r="C6" s="4">
        <v>0.75</v>
      </c>
      <c r="D6" s="4">
        <v>0.25</v>
      </c>
      <c r="E6" s="4">
        <v>0.03</v>
      </c>
    </row>
    <row r="7" spans="2:5">
      <c r="B7" s="3" t="s">
        <v>34</v>
      </c>
      <c r="C7" s="4">
        <v>1</v>
      </c>
      <c r="D7" s="4">
        <v>0.35</v>
      </c>
      <c r="E7" s="4">
        <v>0.04</v>
      </c>
    </row>
    <row r="8" spans="2:5">
      <c r="B8" s="3" t="s">
        <v>21</v>
      </c>
      <c r="C8" s="4">
        <v>1.5</v>
      </c>
      <c r="D8" s="4">
        <v>0.5</v>
      </c>
      <c r="E8" s="4">
        <v>0.05</v>
      </c>
    </row>
    <row r="9" spans="2:5">
      <c r="B9" s="31" t="s">
        <v>105</v>
      </c>
    </row>
    <row r="10" spans="2:5" s="1" customFormat="1">
      <c r="B10" s="2"/>
    </row>
    <row r="11" spans="2:5" s="1" customFormat="1"/>
    <row r="12" spans="2:5" s="1" customFormat="1">
      <c r="B12" s="28" t="s">
        <v>95</v>
      </c>
    </row>
    <row r="13" spans="2:5" s="1" customFormat="1">
      <c r="B13" s="7" t="s">
        <v>28</v>
      </c>
      <c r="C13" s="7" t="s">
        <v>31</v>
      </c>
      <c r="D13" s="7" t="s">
        <v>30</v>
      </c>
    </row>
    <row r="14" spans="2:5" s="1" customFormat="1">
      <c r="B14" s="3" t="s">
        <v>20</v>
      </c>
      <c r="C14" s="4">
        <v>0.2</v>
      </c>
      <c r="D14" s="4">
        <v>7.0000000000000007E-2</v>
      </c>
    </row>
    <row r="15" spans="2:5" s="1" customFormat="1">
      <c r="B15" s="3" t="s">
        <v>32</v>
      </c>
      <c r="C15" s="4">
        <v>0.5</v>
      </c>
      <c r="D15" s="4">
        <v>0.2</v>
      </c>
    </row>
    <row r="16" spans="2:5" s="1" customFormat="1">
      <c r="B16" s="3" t="s">
        <v>33</v>
      </c>
      <c r="C16" s="4">
        <v>0.75</v>
      </c>
      <c r="D16" s="4">
        <v>0.3</v>
      </c>
    </row>
    <row r="17" spans="1:7" s="1" customFormat="1">
      <c r="B17" s="3" t="s">
        <v>34</v>
      </c>
      <c r="C17" s="4">
        <v>1</v>
      </c>
      <c r="D17" s="4">
        <v>0.45</v>
      </c>
    </row>
    <row r="18" spans="1:7" s="1" customFormat="1">
      <c r="B18" s="3" t="s">
        <v>21</v>
      </c>
      <c r="C18" s="4">
        <v>1.5</v>
      </c>
      <c r="D18" s="4">
        <v>0.6</v>
      </c>
    </row>
    <row r="19" spans="1:7" s="1" customFormat="1">
      <c r="B19" s="31" t="s">
        <v>106</v>
      </c>
    </row>
    <row r="20" spans="1:7" s="1" customFormat="1">
      <c r="B20" s="2"/>
    </row>
    <row r="22" spans="1:7">
      <c r="B22" s="28" t="s">
        <v>148</v>
      </c>
      <c r="C22" s="1"/>
      <c r="D22" s="1"/>
    </row>
    <row r="23" spans="1:7">
      <c r="B23" s="8" t="s">
        <v>35</v>
      </c>
      <c r="C23" s="8" t="s">
        <v>31</v>
      </c>
      <c r="D23" s="8" t="s">
        <v>30</v>
      </c>
      <c r="E23" s="7" t="s">
        <v>29</v>
      </c>
    </row>
    <row r="24" spans="1:7">
      <c r="B24" s="5" t="s">
        <v>20</v>
      </c>
      <c r="C24" s="4">
        <v>0.2</v>
      </c>
      <c r="D24" s="6">
        <v>0.04</v>
      </c>
      <c r="E24" s="4">
        <v>0.01</v>
      </c>
    </row>
    <row r="25" spans="1:7">
      <c r="B25" s="5" t="s">
        <v>32</v>
      </c>
      <c r="C25" s="4">
        <v>0.5</v>
      </c>
      <c r="D25" s="6">
        <v>0.11</v>
      </c>
      <c r="E25" s="4">
        <v>0.02</v>
      </c>
    </row>
    <row r="26" spans="1:7">
      <c r="B26" s="5" t="s">
        <v>33</v>
      </c>
      <c r="C26" s="4">
        <v>0.75</v>
      </c>
      <c r="D26" s="6">
        <v>0.18</v>
      </c>
      <c r="E26" s="4">
        <v>0.03</v>
      </c>
    </row>
    <row r="27" spans="1:7">
      <c r="B27" s="5" t="s">
        <v>34</v>
      </c>
      <c r="C27" s="4">
        <v>1</v>
      </c>
      <c r="D27" s="6">
        <v>0.25</v>
      </c>
      <c r="E27" s="4">
        <v>0.04</v>
      </c>
    </row>
    <row r="28" spans="1:7">
      <c r="B28" s="5" t="s">
        <v>21</v>
      </c>
      <c r="C28" s="4">
        <v>1.5</v>
      </c>
      <c r="D28" s="6">
        <v>0.35</v>
      </c>
      <c r="E28" s="4">
        <v>0.05</v>
      </c>
    </row>
    <row r="29" spans="1:7">
      <c r="A29" s="9"/>
      <c r="B29" s="31" t="s">
        <v>147</v>
      </c>
    </row>
    <row r="30" spans="1:7" s="1" customFormat="1">
      <c r="A30" s="9"/>
    </row>
    <row r="32" spans="1:7">
      <c r="B32" s="28" t="s">
        <v>104</v>
      </c>
      <c r="G32" s="9"/>
    </row>
    <row r="33" spans="1:4">
      <c r="B33" s="8" t="s">
        <v>35</v>
      </c>
      <c r="C33" s="8" t="s">
        <v>31</v>
      </c>
      <c r="D33" s="8" t="s">
        <v>30</v>
      </c>
    </row>
    <row r="34" spans="1:4">
      <c r="B34" s="5" t="s">
        <v>20</v>
      </c>
      <c r="C34" s="6">
        <v>0.15</v>
      </c>
      <c r="D34" s="6">
        <v>0.04</v>
      </c>
    </row>
    <row r="35" spans="1:4">
      <c r="B35" s="5" t="s">
        <v>32</v>
      </c>
      <c r="C35" s="6">
        <v>0.35</v>
      </c>
      <c r="D35" s="6">
        <v>0.11</v>
      </c>
    </row>
    <row r="36" spans="1:4">
      <c r="B36" s="5" t="s">
        <v>33</v>
      </c>
      <c r="C36" s="6">
        <v>0.5</v>
      </c>
      <c r="D36" s="6">
        <v>0.18</v>
      </c>
    </row>
    <row r="37" spans="1:4">
      <c r="B37" s="5" t="s">
        <v>34</v>
      </c>
      <c r="C37" s="6">
        <v>0.7</v>
      </c>
      <c r="D37" s="6">
        <v>0.25</v>
      </c>
    </row>
    <row r="38" spans="1:4">
      <c r="B38" s="5" t="s">
        <v>21</v>
      </c>
      <c r="C38" s="6">
        <v>1</v>
      </c>
      <c r="D38" s="6">
        <v>0.35</v>
      </c>
    </row>
    <row r="39" spans="1:4">
      <c r="A39" s="9"/>
      <c r="B39" s="31" t="s">
        <v>182</v>
      </c>
    </row>
    <row r="40" spans="1:4">
      <c r="A40" s="9"/>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91DE8-B047-A547-8DB9-34C93949705D}">
  <dimension ref="A4:K32"/>
  <sheetViews>
    <sheetView workbookViewId="0">
      <selection activeCell="F31" sqref="F31"/>
    </sheetView>
  </sheetViews>
  <sheetFormatPr baseColWidth="10" defaultRowHeight="20"/>
  <cols>
    <col min="1" max="1" width="19.85546875" customWidth="1"/>
    <col min="2" max="11" width="8.7109375" customWidth="1"/>
  </cols>
  <sheetData>
    <row r="4" spans="1:11">
      <c r="A4" t="s">
        <v>96</v>
      </c>
      <c r="B4" t="s">
        <v>43</v>
      </c>
      <c r="C4" t="s">
        <v>44</v>
      </c>
      <c r="D4" t="s">
        <v>45</v>
      </c>
      <c r="E4" t="s">
        <v>45</v>
      </c>
      <c r="F4" t="s">
        <v>45</v>
      </c>
      <c r="H4">
        <f>MATCH(A4,$A$9:$K$9,0)</f>
        <v>2</v>
      </c>
    </row>
    <row r="5" spans="1:11">
      <c r="A5" t="s">
        <v>95</v>
      </c>
      <c r="B5" t="s">
        <v>43</v>
      </c>
      <c r="C5" t="s">
        <v>44</v>
      </c>
      <c r="H5" s="1">
        <f t="shared" ref="H5:H7" si="0">MATCH(A5,$A$9:$K$9,0)</f>
        <v>5</v>
      </c>
    </row>
    <row r="6" spans="1:11">
      <c r="A6" t="s">
        <v>99</v>
      </c>
      <c r="B6" t="s">
        <v>43</v>
      </c>
      <c r="C6" t="s">
        <v>44</v>
      </c>
      <c r="D6" t="s">
        <v>44</v>
      </c>
      <c r="E6" t="s">
        <v>45</v>
      </c>
      <c r="H6" s="1">
        <f t="shared" si="0"/>
        <v>7</v>
      </c>
    </row>
    <row r="7" spans="1:11">
      <c r="A7" t="s">
        <v>100</v>
      </c>
      <c r="B7" t="s">
        <v>43</v>
      </c>
      <c r="C7" t="s">
        <v>43</v>
      </c>
      <c r="D7" t="s">
        <v>44</v>
      </c>
      <c r="E7" t="s">
        <v>44</v>
      </c>
      <c r="H7" s="1">
        <f t="shared" si="0"/>
        <v>10</v>
      </c>
    </row>
    <row r="9" spans="1:11">
      <c r="B9" s="29" t="s">
        <v>96</v>
      </c>
      <c r="C9" s="29"/>
      <c r="D9" s="29"/>
      <c r="E9" s="29" t="s">
        <v>95</v>
      </c>
      <c r="F9" s="29"/>
      <c r="G9" s="29" t="s">
        <v>101</v>
      </c>
      <c r="H9" s="29"/>
      <c r="I9" s="29"/>
      <c r="J9" s="29" t="s">
        <v>102</v>
      </c>
      <c r="K9" s="29"/>
    </row>
    <row r="10" spans="1:11">
      <c r="B10" s="1" t="s">
        <v>43</v>
      </c>
      <c r="C10" s="1" t="s">
        <v>44</v>
      </c>
      <c r="D10" s="1" t="s">
        <v>45</v>
      </c>
      <c r="E10" s="1" t="s">
        <v>43</v>
      </c>
      <c r="F10" s="1" t="s">
        <v>44</v>
      </c>
      <c r="G10" s="1" t="s">
        <v>43</v>
      </c>
      <c r="H10" s="1" t="s">
        <v>44</v>
      </c>
      <c r="I10" s="1" t="s">
        <v>45</v>
      </c>
      <c r="J10" s="1" t="s">
        <v>43</v>
      </c>
      <c r="K10" s="1" t="s">
        <v>44</v>
      </c>
    </row>
    <row r="11" spans="1:11">
      <c r="A11">
        <v>0</v>
      </c>
      <c r="B11" s="25">
        <v>0</v>
      </c>
      <c r="C11" s="25">
        <v>0</v>
      </c>
      <c r="D11" s="25">
        <v>0</v>
      </c>
      <c r="E11" s="25">
        <v>0</v>
      </c>
      <c r="F11" s="25">
        <v>0</v>
      </c>
      <c r="G11" s="25">
        <v>0</v>
      </c>
      <c r="H11" s="25">
        <v>0</v>
      </c>
      <c r="I11" s="25">
        <v>0</v>
      </c>
      <c r="J11" s="25">
        <v>0</v>
      </c>
      <c r="K11" s="25">
        <v>0</v>
      </c>
    </row>
    <row r="12" spans="1:11">
      <c r="A12">
        <v>1</v>
      </c>
      <c r="B12" s="25">
        <v>0.2</v>
      </c>
      <c r="C12" s="25">
        <v>0.05</v>
      </c>
      <c r="D12" s="25">
        <v>0.01</v>
      </c>
      <c r="E12" s="25">
        <v>0.2</v>
      </c>
      <c r="F12" s="25">
        <v>7.0000000000000007E-2</v>
      </c>
      <c r="G12" s="25">
        <v>0.2</v>
      </c>
      <c r="H12" s="25">
        <v>0.04</v>
      </c>
      <c r="I12" s="25">
        <v>0.01</v>
      </c>
      <c r="J12" s="25">
        <v>0.15</v>
      </c>
      <c r="K12" s="25">
        <v>0.04</v>
      </c>
    </row>
    <row r="13" spans="1:11">
      <c r="A13">
        <v>2</v>
      </c>
      <c r="B13" s="25">
        <v>0.5</v>
      </c>
      <c r="C13" s="25">
        <v>0.15</v>
      </c>
      <c r="D13" s="25">
        <v>0.02</v>
      </c>
      <c r="E13" s="25">
        <v>0.5</v>
      </c>
      <c r="F13" s="25">
        <v>0.2</v>
      </c>
      <c r="G13" s="25">
        <v>0.5</v>
      </c>
      <c r="H13" s="25">
        <v>0.11</v>
      </c>
      <c r="I13" s="25">
        <v>0.02</v>
      </c>
      <c r="J13" s="25">
        <v>0.35</v>
      </c>
      <c r="K13" s="25">
        <v>0.11</v>
      </c>
    </row>
    <row r="14" spans="1:11">
      <c r="A14">
        <v>3</v>
      </c>
      <c r="B14" s="25">
        <v>0.75</v>
      </c>
      <c r="C14" s="25">
        <v>0.25</v>
      </c>
      <c r="D14" s="25">
        <v>0.03</v>
      </c>
      <c r="E14" s="25">
        <v>0.75</v>
      </c>
      <c r="F14" s="25">
        <v>0.3</v>
      </c>
      <c r="G14" s="25">
        <v>0.75</v>
      </c>
      <c r="H14" s="25">
        <v>0.18</v>
      </c>
      <c r="I14" s="25">
        <v>0.03</v>
      </c>
      <c r="J14" s="25">
        <v>0.5</v>
      </c>
      <c r="K14" s="25">
        <v>0.18</v>
      </c>
    </row>
    <row r="15" spans="1:11">
      <c r="A15">
        <v>4</v>
      </c>
      <c r="B15" s="25">
        <v>1</v>
      </c>
      <c r="C15" s="25">
        <v>0.35</v>
      </c>
      <c r="D15" s="25">
        <v>0.04</v>
      </c>
      <c r="E15" s="25">
        <v>1</v>
      </c>
      <c r="F15" s="25">
        <v>0.45</v>
      </c>
      <c r="G15" s="25">
        <v>1</v>
      </c>
      <c r="H15" s="25">
        <v>0.25</v>
      </c>
      <c r="I15" s="25">
        <v>0.04</v>
      </c>
      <c r="J15" s="25">
        <v>0.7</v>
      </c>
      <c r="K15" s="25">
        <v>0.25</v>
      </c>
    </row>
    <row r="16" spans="1:11">
      <c r="A16">
        <v>5</v>
      </c>
      <c r="B16" s="25">
        <v>1.5</v>
      </c>
      <c r="C16" s="25">
        <v>0.5</v>
      </c>
      <c r="D16" s="25">
        <v>0.05</v>
      </c>
      <c r="E16" s="25">
        <v>1.5</v>
      </c>
      <c r="F16" s="25">
        <v>0.6</v>
      </c>
      <c r="G16" s="25">
        <v>1.5</v>
      </c>
      <c r="H16" s="25">
        <v>0.35</v>
      </c>
      <c r="I16" s="25">
        <v>0.05</v>
      </c>
      <c r="J16" s="25">
        <v>1</v>
      </c>
      <c r="K16" s="25">
        <v>0.35</v>
      </c>
    </row>
    <row r="18" spans="1:11">
      <c r="A18" t="s">
        <v>43</v>
      </c>
      <c r="B18" s="30">
        <v>0</v>
      </c>
      <c r="C18" s="30"/>
      <c r="D18" s="30"/>
      <c r="E18" s="30"/>
      <c r="F18" s="30"/>
      <c r="G18" s="30"/>
      <c r="H18" s="30"/>
      <c r="I18" s="30"/>
      <c r="J18" s="30"/>
      <c r="K18" s="30"/>
    </row>
    <row r="19" spans="1:11">
      <c r="A19" t="s">
        <v>44</v>
      </c>
      <c r="B19" s="30">
        <v>1</v>
      </c>
      <c r="C19" s="30"/>
      <c r="D19" s="30"/>
      <c r="E19" s="30"/>
      <c r="F19" s="30"/>
      <c r="G19" s="30"/>
      <c r="H19" s="30"/>
      <c r="I19" s="30"/>
      <c r="J19" s="30"/>
      <c r="K19" s="30"/>
    </row>
    <row r="20" spans="1:11">
      <c r="A20" t="s">
        <v>45</v>
      </c>
      <c r="B20" s="30">
        <v>2</v>
      </c>
      <c r="C20" s="30"/>
      <c r="D20" s="30"/>
      <c r="E20" s="30"/>
      <c r="F20" s="30"/>
      <c r="G20" s="30"/>
      <c r="H20" s="30"/>
      <c r="I20" s="30"/>
      <c r="J20" s="30"/>
      <c r="K20" s="30"/>
    </row>
    <row r="21" spans="1:11">
      <c r="B21" s="30"/>
      <c r="C21" s="30"/>
      <c r="D21" s="30"/>
      <c r="E21" s="30"/>
      <c r="F21" s="30"/>
      <c r="G21" s="30"/>
      <c r="H21" s="30"/>
      <c r="I21" s="30"/>
      <c r="J21" s="30"/>
      <c r="K21" s="30"/>
    </row>
    <row r="22" spans="1:11">
      <c r="B22" s="30"/>
      <c r="C22" s="30"/>
      <c r="D22" s="30"/>
      <c r="E22" s="30"/>
      <c r="F22" s="30"/>
      <c r="G22" s="30"/>
      <c r="H22" s="30"/>
      <c r="I22" s="30"/>
      <c r="J22" s="30"/>
      <c r="K22" s="30"/>
    </row>
    <row r="23" spans="1:11">
      <c r="B23" s="30"/>
      <c r="C23" s="30"/>
      <c r="D23" s="30"/>
      <c r="E23" s="30"/>
      <c r="F23" s="30"/>
      <c r="G23" s="30"/>
      <c r="H23" s="30"/>
      <c r="I23" s="30"/>
      <c r="J23" s="30"/>
      <c r="K23" s="30"/>
    </row>
    <row r="24" spans="1:11">
      <c r="B24" s="30"/>
      <c r="C24" s="30"/>
      <c r="D24" s="30"/>
      <c r="E24" s="30"/>
      <c r="F24" s="30"/>
      <c r="G24" s="30"/>
      <c r="H24" s="30"/>
      <c r="I24" s="30"/>
      <c r="J24" s="30"/>
      <c r="K24" s="30"/>
    </row>
    <row r="25" spans="1:11">
      <c r="B25" s="30"/>
      <c r="C25" s="30"/>
      <c r="D25" s="30"/>
      <c r="E25" s="30"/>
      <c r="F25" s="30"/>
      <c r="G25" s="30"/>
      <c r="H25" s="30"/>
      <c r="I25" s="30"/>
      <c r="J25" s="30"/>
      <c r="K25" s="30"/>
    </row>
    <row r="26" spans="1:11">
      <c r="B26" s="30"/>
      <c r="C26" s="30"/>
      <c r="D26" s="30"/>
      <c r="E26" s="30"/>
      <c r="F26" s="30"/>
      <c r="G26" s="30"/>
      <c r="H26" s="30"/>
      <c r="I26" s="30"/>
      <c r="J26" s="30"/>
      <c r="K26" s="30"/>
    </row>
    <row r="27" spans="1:11">
      <c r="B27" s="30"/>
      <c r="C27" s="30"/>
      <c r="D27" s="30"/>
      <c r="E27" s="30"/>
      <c r="F27" s="30"/>
      <c r="G27" s="30"/>
      <c r="H27" s="30"/>
      <c r="I27" s="30"/>
      <c r="J27" s="30"/>
      <c r="K27" s="30"/>
    </row>
    <row r="28" spans="1:11">
      <c r="B28" s="30"/>
      <c r="C28" s="30"/>
      <c r="D28" s="30"/>
      <c r="E28" s="30"/>
      <c r="F28" s="30"/>
      <c r="G28" s="30"/>
      <c r="H28" s="30"/>
      <c r="I28" s="30"/>
      <c r="J28" s="30"/>
      <c r="K28" s="30"/>
    </row>
    <row r="29" spans="1:11">
      <c r="B29" s="30"/>
      <c r="C29" s="30"/>
      <c r="D29" s="30"/>
      <c r="E29" s="30"/>
      <c r="F29" s="30"/>
      <c r="G29" s="30"/>
      <c r="H29" s="30"/>
      <c r="I29" s="30"/>
      <c r="J29" s="30"/>
      <c r="K29" s="30"/>
    </row>
    <row r="30" spans="1:11">
      <c r="B30" s="30"/>
      <c r="C30" s="30"/>
      <c r="D30" s="30"/>
      <c r="E30" s="30"/>
      <c r="F30" s="30"/>
      <c r="G30" s="30"/>
      <c r="H30" s="30"/>
      <c r="I30" s="30"/>
      <c r="J30" s="30"/>
      <c r="K30" s="30"/>
    </row>
    <row r="31" spans="1:11">
      <c r="B31" s="30"/>
      <c r="C31" s="30"/>
      <c r="D31" s="30"/>
      <c r="E31" s="30"/>
      <c r="F31" s="30"/>
      <c r="G31" s="30"/>
      <c r="H31" s="30"/>
      <c r="I31" s="30"/>
      <c r="J31" s="30"/>
      <c r="K31" s="30"/>
    </row>
    <row r="32" spans="1:11">
      <c r="B32" s="30"/>
      <c r="C32" s="30"/>
      <c r="D32" s="30"/>
      <c r="E32" s="30"/>
      <c r="F32" s="30"/>
      <c r="G32" s="30"/>
      <c r="H32" s="30"/>
      <c r="I32" s="30"/>
      <c r="J32" s="30"/>
      <c r="K32" s="30"/>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599A-B10D-0D42-B283-117319B32D51}">
  <dimension ref="A1:H32"/>
  <sheetViews>
    <sheetView topLeftCell="A6" workbookViewId="0">
      <selection activeCell="D15" sqref="D15"/>
    </sheetView>
  </sheetViews>
  <sheetFormatPr baseColWidth="10" defaultRowHeight="20"/>
  <cols>
    <col min="1" max="1" width="23" customWidth="1"/>
    <col min="2" max="4" width="17.42578125" customWidth="1"/>
    <col min="5" max="5" width="13.7109375" customWidth="1"/>
    <col min="6" max="7" width="17.42578125" customWidth="1"/>
  </cols>
  <sheetData>
    <row r="1" spans="1:5" s="1" customFormat="1">
      <c r="B1" s="1" t="s">
        <v>15</v>
      </c>
      <c r="C1" s="1" t="s">
        <v>60</v>
      </c>
      <c r="D1" t="s">
        <v>17</v>
      </c>
    </row>
    <row r="2" spans="1:5">
      <c r="B2">
        <v>1</v>
      </c>
      <c r="C2">
        <v>10</v>
      </c>
      <c r="D2" s="10">
        <v>100</v>
      </c>
    </row>
    <row r="3" spans="1:5">
      <c r="B3">
        <v>2</v>
      </c>
      <c r="C3">
        <v>16</v>
      </c>
      <c r="D3" s="10">
        <v>500</v>
      </c>
    </row>
    <row r="4" spans="1:5">
      <c r="B4">
        <v>3</v>
      </c>
      <c r="C4">
        <v>20</v>
      </c>
      <c r="D4" s="10">
        <v>1000</v>
      </c>
    </row>
    <row r="5" spans="1:5">
      <c r="B5">
        <v>6</v>
      </c>
      <c r="C5">
        <v>30</v>
      </c>
      <c r="D5" s="10">
        <v>2000</v>
      </c>
    </row>
    <row r="6" spans="1:5">
      <c r="B6">
        <v>10</v>
      </c>
      <c r="C6">
        <v>40</v>
      </c>
    </row>
    <row r="7" spans="1:5" s="1" customFormat="1"/>
    <row r="8" spans="1:5" s="1" customFormat="1"/>
    <row r="9" spans="1:5">
      <c r="A9" t="s">
        <v>0</v>
      </c>
      <c r="B9" t="s">
        <v>4</v>
      </c>
      <c r="D9">
        <f>ROUNDDOWN(イベント開始時!D5*10000*0.02%,0)</f>
        <v>600</v>
      </c>
      <c r="E9" t="s">
        <v>54</v>
      </c>
    </row>
    <row r="10" spans="1:5">
      <c r="B10" t="s">
        <v>5</v>
      </c>
      <c r="D10">
        <f>2000+D9</f>
        <v>2600</v>
      </c>
      <c r="E10" t="s">
        <v>54</v>
      </c>
    </row>
    <row r="11" spans="1:5">
      <c r="B11" t="s">
        <v>149</v>
      </c>
      <c r="D11">
        <f>D10*(1+イベント開始時!D8)</f>
        <v>2600</v>
      </c>
      <c r="E11" t="s">
        <v>54</v>
      </c>
    </row>
    <row r="12" spans="1:5" s="1" customFormat="1"/>
    <row r="13" spans="1:5">
      <c r="B13" t="s">
        <v>6</v>
      </c>
      <c r="D13">
        <f>D11*10</f>
        <v>26000</v>
      </c>
      <c r="E13" t="s">
        <v>54</v>
      </c>
    </row>
    <row r="15" spans="1:5">
      <c r="A15" t="s">
        <v>7</v>
      </c>
      <c r="B15" t="s">
        <v>4</v>
      </c>
      <c r="D15">
        <f>ROUNDDOWN(イベント開始時!D10*10000*0.02%,0)</f>
        <v>600</v>
      </c>
      <c r="E15" t="s">
        <v>54</v>
      </c>
    </row>
    <row r="16" spans="1:5">
      <c r="B16" t="s">
        <v>9</v>
      </c>
      <c r="D16">
        <f>10000+D15</f>
        <v>10600</v>
      </c>
      <c r="E16" t="s">
        <v>54</v>
      </c>
    </row>
    <row r="17" spans="1:8">
      <c r="B17" t="s">
        <v>149</v>
      </c>
      <c r="D17">
        <f>D16*(1+イベント開始時!D13)</f>
        <v>10600</v>
      </c>
      <c r="E17" t="s">
        <v>54</v>
      </c>
    </row>
    <row r="19" spans="1:8">
      <c r="B19" t="s">
        <v>12</v>
      </c>
      <c r="D19">
        <f>D13+D17</f>
        <v>36600</v>
      </c>
      <c r="E19" t="s">
        <v>54</v>
      </c>
    </row>
    <row r="21" spans="1:8">
      <c r="B21" t="s">
        <v>16</v>
      </c>
      <c r="C21" t="s">
        <v>13</v>
      </c>
      <c r="D21">
        <f>ROUNDDOWN(D19/10,0)</f>
        <v>3660</v>
      </c>
      <c r="E21" t="s">
        <v>54</v>
      </c>
    </row>
    <row r="22" spans="1:8">
      <c r="B22" t="s">
        <v>85</v>
      </c>
      <c r="C22" t="s">
        <v>13</v>
      </c>
      <c r="D22">
        <f>D10+D16/10</f>
        <v>3660</v>
      </c>
      <c r="E22" t="s">
        <v>54</v>
      </c>
    </row>
    <row r="24" spans="1:8">
      <c r="B24" t="s">
        <v>39</v>
      </c>
      <c r="D24">
        <f>D21*イベント開始時!D15</f>
        <v>36600</v>
      </c>
      <c r="E24" t="s">
        <v>54</v>
      </c>
    </row>
    <row r="27" spans="1:8">
      <c r="A27" t="s">
        <v>52</v>
      </c>
      <c r="D27">
        <f>イベント開始時!D21*10</f>
        <v>60110</v>
      </c>
      <c r="E27" t="s">
        <v>53</v>
      </c>
    </row>
    <row r="28" spans="1:8">
      <c r="B28" t="s">
        <v>56</v>
      </c>
      <c r="C28">
        <v>2000</v>
      </c>
      <c r="D28">
        <f>ROUNDDOWN(IF(イベント開始時!C37=2000,箱イベ計算!D27/2000,),0)</f>
        <v>0</v>
      </c>
      <c r="E28" s="1" t="s">
        <v>36</v>
      </c>
      <c r="F28" t="s">
        <v>57</v>
      </c>
      <c r="G28">
        <f>D27-(C28*D28)</f>
        <v>60110</v>
      </c>
      <c r="H28" t="s">
        <v>53</v>
      </c>
    </row>
    <row r="29" spans="1:8">
      <c r="C29">
        <v>1000</v>
      </c>
      <c r="D29">
        <f>ROUNDDOWN(IF(D28&gt;=1,G28/1000,IF(イベント開始時!C37=1000,箱イベ計算!D27/1000,)),0)</f>
        <v>0</v>
      </c>
      <c r="E29" s="1" t="s">
        <v>36</v>
      </c>
      <c r="G29">
        <f>D27-(C28*D28)-(C29*D29)</f>
        <v>60110</v>
      </c>
      <c r="H29" t="s">
        <v>53</v>
      </c>
    </row>
    <row r="30" spans="1:8">
      <c r="C30">
        <v>500</v>
      </c>
      <c r="D30">
        <f>ROUNDDOWN(IF(OR(D28&gt;=1,D29&gt;=1),G29/500,IF(イベント開始時!C37=500,箱イベ計算!D27/500,)),0)</f>
        <v>0</v>
      </c>
      <c r="E30" s="1" t="s">
        <v>36</v>
      </c>
      <c r="G30">
        <f>D27-(C28*D28)-(C29*D29)-(C30*D30)</f>
        <v>60110</v>
      </c>
      <c r="H30" t="s">
        <v>53</v>
      </c>
    </row>
    <row r="31" spans="1:8">
      <c r="C31">
        <v>100</v>
      </c>
      <c r="D31">
        <f>ROUNDDOWN(箱イベ計算!G30/100,0)</f>
        <v>601</v>
      </c>
      <c r="E31" s="1" t="s">
        <v>36</v>
      </c>
    </row>
    <row r="32" spans="1:8">
      <c r="C32" t="s">
        <v>46</v>
      </c>
      <c r="D32">
        <f>SUM(D28:D31)</f>
        <v>601</v>
      </c>
      <c r="E32" t="s">
        <v>36</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6C6DA-F0C0-484D-AEDB-D4C006C6C0F3}">
  <dimension ref="A3:H39"/>
  <sheetViews>
    <sheetView workbookViewId="0">
      <selection activeCell="D15" sqref="D15"/>
    </sheetView>
  </sheetViews>
  <sheetFormatPr baseColWidth="10" defaultRowHeight="20"/>
  <cols>
    <col min="1" max="1" width="23" style="1" customWidth="1"/>
    <col min="2" max="4" width="17.42578125" style="1" customWidth="1"/>
    <col min="5" max="5" width="13.7109375" style="1" customWidth="1"/>
    <col min="6" max="7" width="17.42578125" style="1" customWidth="1"/>
    <col min="8" max="16384" width="10.7109375" style="1"/>
  </cols>
  <sheetData>
    <row r="3" spans="1:5">
      <c r="A3" s="1" t="s">
        <v>87</v>
      </c>
      <c r="D3" s="10">
        <f>(途中経過用!D3-途中経過用!D5)*10000</f>
        <v>0</v>
      </c>
      <c r="E3" s="1" t="s">
        <v>54</v>
      </c>
    </row>
    <row r="4" spans="1:5">
      <c r="A4" s="1" t="s">
        <v>86</v>
      </c>
      <c r="D4" s="10">
        <f>ROUNDDOWN(途中経過用!D7/100,0)*箱イベ計算2!D15</f>
        <v>0</v>
      </c>
      <c r="E4" s="1" t="s">
        <v>54</v>
      </c>
    </row>
    <row r="5" spans="1:5">
      <c r="A5" s="1" t="s">
        <v>88</v>
      </c>
      <c r="D5" s="10">
        <f>D3-D4</f>
        <v>0</v>
      </c>
      <c r="E5" s="1" t="s">
        <v>54</v>
      </c>
    </row>
    <row r="6" spans="1:5">
      <c r="D6" s="10"/>
    </row>
    <row r="7" spans="1:5">
      <c r="A7" s="1" t="s">
        <v>0</v>
      </c>
      <c r="B7" s="1" t="s">
        <v>4</v>
      </c>
      <c r="D7" s="10">
        <f>ROUNDDOWN(途中経過用!D9*10000*0.02%,0)</f>
        <v>0</v>
      </c>
      <c r="E7" s="1" t="s">
        <v>54</v>
      </c>
    </row>
    <row r="8" spans="1:5">
      <c r="B8" s="1" t="s">
        <v>5</v>
      </c>
      <c r="D8" s="10">
        <f>2000+D7</f>
        <v>2000</v>
      </c>
      <c r="E8" s="1" t="s">
        <v>54</v>
      </c>
    </row>
    <row r="9" spans="1:5">
      <c r="B9" s="1" t="s">
        <v>84</v>
      </c>
      <c r="C9" s="25">
        <f>途中経過用!D12</f>
        <v>0</v>
      </c>
      <c r="D9" s="10">
        <f>D8*(1+途中経過用!D12)</f>
        <v>2000</v>
      </c>
      <c r="E9" s="1" t="s">
        <v>54</v>
      </c>
    </row>
    <row r="10" spans="1:5">
      <c r="D10" s="10"/>
    </row>
    <row r="11" spans="1:5">
      <c r="B11" s="1" t="s">
        <v>6</v>
      </c>
      <c r="D11" s="10">
        <f>D9*10</f>
        <v>20000</v>
      </c>
      <c r="E11" s="1" t="s">
        <v>54</v>
      </c>
    </row>
    <row r="12" spans="1:5">
      <c r="D12" s="10"/>
    </row>
    <row r="13" spans="1:5">
      <c r="A13" s="1" t="s">
        <v>7</v>
      </c>
      <c r="B13" s="1" t="s">
        <v>4</v>
      </c>
      <c r="D13" s="10">
        <f>ROUNDDOWN(途中経過用!D14*10000*0.02%,0)</f>
        <v>0</v>
      </c>
      <c r="E13" s="1" t="s">
        <v>54</v>
      </c>
    </row>
    <row r="14" spans="1:5">
      <c r="B14" s="1" t="s">
        <v>9</v>
      </c>
      <c r="D14" s="10">
        <f>10000+D13</f>
        <v>10000</v>
      </c>
      <c r="E14" s="1" t="s">
        <v>54</v>
      </c>
    </row>
    <row r="15" spans="1:5">
      <c r="B15" s="1" t="s">
        <v>84</v>
      </c>
      <c r="C15" s="25">
        <f>途中経過用!D17</f>
        <v>0</v>
      </c>
      <c r="D15" s="10">
        <f>D14*(1+途中経過用!D17)</f>
        <v>10000</v>
      </c>
      <c r="E15" s="1" t="s">
        <v>54</v>
      </c>
    </row>
    <row r="16" spans="1:5">
      <c r="D16" s="10"/>
    </row>
    <row r="17" spans="1:8">
      <c r="B17" s="1" t="s">
        <v>12</v>
      </c>
      <c r="D17" s="10">
        <f>D11+D15</f>
        <v>30000</v>
      </c>
      <c r="E17" s="1" t="s">
        <v>54</v>
      </c>
    </row>
    <row r="18" spans="1:8">
      <c r="D18" s="10"/>
    </row>
    <row r="19" spans="1:8">
      <c r="B19" s="1" t="s">
        <v>16</v>
      </c>
      <c r="C19" s="1" t="s">
        <v>13</v>
      </c>
      <c r="D19" s="10">
        <f>ROUNDDOWN(D17/10,0)</f>
        <v>3000</v>
      </c>
      <c r="E19" s="1" t="s">
        <v>54</v>
      </c>
    </row>
    <row r="20" spans="1:8">
      <c r="B20" s="1" t="s">
        <v>85</v>
      </c>
      <c r="C20" s="1" t="s">
        <v>13</v>
      </c>
      <c r="D20" s="10">
        <f>D8+D14/10</f>
        <v>3000</v>
      </c>
      <c r="E20" s="1" t="s">
        <v>54</v>
      </c>
    </row>
    <row r="21" spans="1:8">
      <c r="D21" s="10"/>
    </row>
    <row r="22" spans="1:8">
      <c r="B22" s="1" t="s">
        <v>39</v>
      </c>
      <c r="C22" s="26">
        <f>途中経過用!D19</f>
        <v>0</v>
      </c>
      <c r="D22" s="10">
        <f>D19*途中経過用!D19</f>
        <v>0</v>
      </c>
      <c r="E22" s="1" t="s">
        <v>54</v>
      </c>
    </row>
    <row r="23" spans="1:8">
      <c r="D23" s="10"/>
    </row>
    <row r="24" spans="1:8">
      <c r="D24" s="10"/>
    </row>
    <row r="25" spans="1:8">
      <c r="A25" s="1" t="s">
        <v>52</v>
      </c>
      <c r="D25" s="10">
        <f>途中経過用!D7+途中経過用!D25*10</f>
        <v>0</v>
      </c>
      <c r="E25" s="1" t="s">
        <v>53</v>
      </c>
    </row>
    <row r="26" spans="1:8">
      <c r="B26" s="1" t="s">
        <v>56</v>
      </c>
      <c r="C26" s="1">
        <v>2000</v>
      </c>
      <c r="D26" s="10">
        <f>ROUNDDOWN(IF(途中経過用!C30=2000,箱イベ計算2!D25/2000,),0)</f>
        <v>0</v>
      </c>
      <c r="E26" s="1" t="s">
        <v>36</v>
      </c>
      <c r="F26" s="1" t="s">
        <v>57</v>
      </c>
      <c r="G26" s="1">
        <f>D25-(C26*D26)</f>
        <v>0</v>
      </c>
      <c r="H26" s="1" t="s">
        <v>53</v>
      </c>
    </row>
    <row r="27" spans="1:8">
      <c r="C27" s="1">
        <v>1000</v>
      </c>
      <c r="D27" s="10">
        <f>ROUNDDOWN(IF(D26&gt;=1,G26/1000,IF(途中経過用!C30=1000,箱イベ計算2!D25/1000,)),0)</f>
        <v>0</v>
      </c>
      <c r="E27" s="1" t="s">
        <v>36</v>
      </c>
      <c r="G27" s="1">
        <f>D25-(C26*D26)-(C27*D27)</f>
        <v>0</v>
      </c>
      <c r="H27" s="1" t="s">
        <v>53</v>
      </c>
    </row>
    <row r="28" spans="1:8">
      <c r="C28" s="1">
        <v>500</v>
      </c>
      <c r="D28" s="10">
        <f>ROUNDDOWN(IF(OR(D26&gt;=1,D27&gt;=1),G27/500,IF(途中経過用!C30=500,箱イベ計算2!D25/500,)),0)</f>
        <v>0</v>
      </c>
      <c r="E28" s="1" t="s">
        <v>36</v>
      </c>
      <c r="G28" s="1">
        <f>D25-(C26*D26)-(C27*D27)-(C28*D28)</f>
        <v>0</v>
      </c>
      <c r="H28" s="1" t="s">
        <v>53</v>
      </c>
    </row>
    <row r="29" spans="1:8">
      <c r="C29" s="1">
        <v>100</v>
      </c>
      <c r="D29" s="10">
        <f>ROUNDDOWN(箱イベ計算2!G28/100,0)</f>
        <v>0</v>
      </c>
      <c r="E29" s="1" t="s">
        <v>36</v>
      </c>
    </row>
    <row r="30" spans="1:8">
      <c r="C30" s="1" t="s">
        <v>46</v>
      </c>
      <c r="D30" s="10">
        <f>SUM(D26:D29)</f>
        <v>0</v>
      </c>
      <c r="E30" s="1" t="s">
        <v>36</v>
      </c>
    </row>
    <row r="31" spans="1:8">
      <c r="D31" s="10"/>
    </row>
    <row r="32" spans="1:8">
      <c r="D32" s="10"/>
    </row>
    <row r="33" spans="4:4">
      <c r="D33" s="10"/>
    </row>
    <row r="34" spans="4:4">
      <c r="D34" s="10"/>
    </row>
    <row r="35" spans="4:4">
      <c r="D35" s="10"/>
    </row>
    <row r="36" spans="4:4">
      <c r="D36" s="10"/>
    </row>
    <row r="37" spans="4:4">
      <c r="D37" s="10"/>
    </row>
    <row r="38" spans="4:4">
      <c r="D38" s="10"/>
    </row>
    <row r="39" spans="4:4">
      <c r="D39" s="10"/>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はじめにお読みください</vt:lpstr>
      <vt:lpstr>特効計算</vt:lpstr>
      <vt:lpstr>イベント開始時</vt:lpstr>
      <vt:lpstr>途中経過用</vt:lpstr>
      <vt:lpstr>イベント進捗</vt:lpstr>
      <vt:lpstr>【参考】特効倍率</vt:lpstr>
      <vt:lpstr>特効計算用</vt:lpstr>
      <vt:lpstr>箱イベ計算</vt:lpstr>
      <vt:lpstr>箱イベ計算2</vt:lpstr>
      <vt:lpstr>イベント進捗!Print_Area</vt:lpstr>
      <vt:lpstr>はじめにお読みください!Print_Area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あんスタイベントダイヤ数計算</dc:title>
  <dc:subject/>
  <dc:creator>まりんぬ</dc:creator>
  <cp:keywords/>
  <dc:description/>
  <cp:lastModifiedBy>🍎</cp:lastModifiedBy>
  <dcterms:created xsi:type="dcterms:W3CDTF">2021-08-19T03:43:20Z</dcterms:created>
  <dcterms:modified xsi:type="dcterms:W3CDTF">2024-09-14T08:12:52Z</dcterms:modified>
  <cp:category/>
</cp:coreProperties>
</file>