
<file path=[Content_Types].xml><?xml version="1.0" encoding="utf-8"?>
<Types xmlns="http://schemas.openxmlformats.org/package/2006/content-type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comments2.xml" ContentType="application/vnd.openxmlformats-officedocument.spreadsheetml.comments+xml"/>
  <Override PartName="/xl/drawings/drawing4.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209"/>
  <workbookPr defaultThemeVersion="166925"/>
  <mc:AlternateContent xmlns:mc="http://schemas.openxmlformats.org/markup-compatibility/2006">
    <mc:Choice Requires="x15">
      <x15ac:absPath xmlns:x15ac="http://schemas.microsoft.com/office/spreadsheetml/2010/11/ac" url="/Users/mari/Documents/Excel/オタライフ/あんスタ/Excel配布用/"/>
    </mc:Choice>
  </mc:AlternateContent>
  <xr:revisionPtr revIDLastSave="0" documentId="13_ncr:1_{9E6E7C6D-BE4F-6A4C-854F-77124C2CC596}" xr6:coauthVersionLast="47" xr6:coauthVersionMax="47" xr10:uidLastSave="{00000000-0000-0000-0000-000000000000}"/>
  <bookViews>
    <workbookView xWindow="0" yWindow="760" windowWidth="30240" windowHeight="17280" xr2:uid="{EEE496C5-1D16-AF4E-9A21-1D6F6A8BBCEF}"/>
  </bookViews>
  <sheets>
    <sheet name="はじめにお読みください" sheetId="6" r:id="rId1"/>
    <sheet name="特効計算" sheetId="9" r:id="rId2"/>
    <sheet name="イベント開始時" sheetId="1" r:id="rId3"/>
    <sheet name="途中経過用" sheetId="7" r:id="rId4"/>
    <sheet name="イベント進捗" sheetId="11" r:id="rId5"/>
    <sheet name="【参考】特効倍率" sheetId="5" r:id="rId6"/>
    <sheet name="特効計算用" sheetId="10" state="hidden" r:id="rId7"/>
    <sheet name="箱イベ計算" sheetId="2" state="hidden" r:id="rId8"/>
    <sheet name="途中経過計算" sheetId="8" state="hidden" r:id="rId9"/>
  </sheets>
  <definedNames>
    <definedName name="_xlnm.Print_Area" localSheetId="4">イベント進捗!$B$1:$K$35</definedName>
    <definedName name="_xlnm.Print_Area" localSheetId="0">はじめにお読みください!$B$1:$B$81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29" i="8" l="1"/>
  <c r="D31" i="2"/>
  <c r="D8" i="11" l="1"/>
  <c r="F8" i="11"/>
  <c r="G8" i="11"/>
  <c r="G9" i="11" s="1"/>
  <c r="H8" i="11"/>
  <c r="H10" i="11" s="1"/>
  <c r="I8" i="11"/>
  <c r="J8" i="11"/>
  <c r="K8" i="11"/>
  <c r="D9" i="11"/>
  <c r="F9" i="11"/>
  <c r="I9" i="11"/>
  <c r="J9" i="11"/>
  <c r="K9" i="11"/>
  <c r="D10" i="11"/>
  <c r="F10" i="11"/>
  <c r="G10" i="11"/>
  <c r="I10" i="11"/>
  <c r="J10" i="11"/>
  <c r="K10" i="11"/>
  <c r="H9" i="11" l="1"/>
  <c r="C4" i="11"/>
  <c r="K5" i="11" l="1"/>
  <c r="J5" i="11"/>
  <c r="I5" i="11"/>
  <c r="H5" i="11"/>
  <c r="G5" i="11"/>
  <c r="F5" i="11"/>
  <c r="E5" i="11"/>
  <c r="D5" i="11"/>
  <c r="C5" i="11"/>
  <c r="D4" i="11"/>
  <c r="E4" i="11" s="1"/>
  <c r="F4" i="11" s="1"/>
  <c r="G4" i="11" s="1"/>
  <c r="H4" i="11" s="1"/>
  <c r="I4" i="11" s="1"/>
  <c r="J4" i="11" s="1"/>
  <c r="K4" i="11" s="1"/>
  <c r="D12" i="9"/>
  <c r="D34" i="9"/>
  <c r="D37" i="9"/>
  <c r="D36" i="9"/>
  <c r="D35" i="9"/>
  <c r="D33" i="9"/>
  <c r="D29" i="9"/>
  <c r="F29" i="9" s="1"/>
  <c r="D28" i="9"/>
  <c r="D27" i="9"/>
  <c r="G27" i="9" s="1"/>
  <c r="D26" i="9"/>
  <c r="G26" i="9" s="1"/>
  <c r="D25" i="9"/>
  <c r="D15" i="9"/>
  <c r="D14" i="9"/>
  <c r="D13" i="9"/>
  <c r="D11" i="9"/>
  <c r="H5" i="10"/>
  <c r="H6" i="10"/>
  <c r="H7" i="10"/>
  <c r="H4" i="10"/>
  <c r="G35" i="9" l="1"/>
  <c r="G36" i="9"/>
  <c r="G11" i="9"/>
  <c r="G34" i="9"/>
  <c r="G28" i="9"/>
  <c r="G33" i="9"/>
  <c r="G13" i="9"/>
  <c r="G14" i="9"/>
  <c r="G37" i="9"/>
  <c r="G15" i="9"/>
  <c r="G25" i="9"/>
  <c r="G12" i="9"/>
  <c r="G29" i="9"/>
  <c r="G30" i="9" s="1"/>
  <c r="G38" i="9"/>
  <c r="F35" i="9"/>
  <c r="F26" i="9"/>
  <c r="F36" i="9"/>
  <c r="F27" i="9"/>
  <c r="F33" i="9"/>
  <c r="F37" i="9"/>
  <c r="F28" i="9"/>
  <c r="F34" i="9"/>
  <c r="F25" i="9"/>
  <c r="F13" i="9"/>
  <c r="F14" i="9"/>
  <c r="F11" i="9"/>
  <c r="F15" i="9"/>
  <c r="F12" i="9"/>
  <c r="D7" i="9"/>
  <c r="G7" i="9" s="1"/>
  <c r="D6" i="9"/>
  <c r="G6" i="9" s="1"/>
  <c r="D5" i="9"/>
  <c r="G5" i="9" s="1"/>
  <c r="D4" i="9"/>
  <c r="G4" i="9" s="1"/>
  <c r="D3" i="9"/>
  <c r="G3" i="9" s="1"/>
  <c r="G16" i="9" l="1"/>
  <c r="E18" i="9"/>
  <c r="E40" i="9" s="1"/>
  <c r="G8" i="9"/>
  <c r="E19" i="9" s="1"/>
  <c r="F4" i="9"/>
  <c r="F5" i="9"/>
  <c r="F3" i="9"/>
  <c r="F6" i="9"/>
  <c r="F7" i="9"/>
  <c r="D46" i="1"/>
  <c r="C22" i="8"/>
  <c r="D13" i="8"/>
  <c r="D14" i="8" s="1"/>
  <c r="D7" i="8"/>
  <c r="D8" i="8" s="1"/>
  <c r="D3" i="8"/>
  <c r="D8" i="1" l="1"/>
  <c r="E41" i="9"/>
  <c r="D13" i="1" s="1"/>
  <c r="D18" i="7"/>
  <c r="D14" i="1"/>
  <c r="D9" i="1"/>
  <c r="D13" i="7"/>
  <c r="E42" i="9"/>
  <c r="E20" i="9"/>
  <c r="D12" i="7"/>
  <c r="D20" i="8"/>
  <c r="D17" i="7" l="1"/>
  <c r="C15" i="8" s="1"/>
  <c r="C9" i="8"/>
  <c r="D9" i="8"/>
  <c r="D11" i="8" s="1"/>
  <c r="D15" i="8" l="1"/>
  <c r="D4" i="8" s="1"/>
  <c r="D5" i="8" s="1"/>
  <c r="D17" i="8"/>
  <c r="D19" i="8" s="1"/>
  <c r="D22" i="8" s="1"/>
  <c r="D24" i="8" l="1"/>
  <c r="D26" i="8" s="1"/>
  <c r="D28" i="8" s="1"/>
  <c r="D21" i="7"/>
  <c r="D25" i="7" s="1"/>
  <c r="D26" i="7" l="1"/>
  <c r="D15" i="2"/>
  <c r="D16" i="2" s="1"/>
  <c r="G17" i="2" s="1"/>
  <c r="D9" i="2"/>
  <c r="D10" i="2" s="1"/>
  <c r="G11" i="2" s="1"/>
  <c r="G13" i="2" s="1"/>
  <c r="G19" i="2" s="1"/>
  <c r="G21" i="2" s="1"/>
  <c r="G23" i="2" s="1"/>
  <c r="G25" i="2" s="1"/>
  <c r="D22" i="1" l="1"/>
  <c r="G27" i="2"/>
  <c r="D11" i="2"/>
  <c r="D17" i="2"/>
  <c r="G29" i="8" l="1"/>
  <c r="C8" i="11"/>
  <c r="E8" i="11"/>
  <c r="D13" i="2"/>
  <c r="D30" i="8" l="1"/>
  <c r="E9" i="11"/>
  <c r="E10" i="11"/>
  <c r="C10" i="11"/>
  <c r="C9" i="11"/>
  <c r="D19" i="2"/>
  <c r="D21" i="2" s="1"/>
  <c r="G30" i="8" l="1"/>
  <c r="D23" i="2"/>
  <c r="D25" i="2" s="1"/>
  <c r="D31" i="8" l="1"/>
  <c r="G31" i="8" s="1"/>
  <c r="D17" i="1"/>
  <c r="D21" i="1" s="1"/>
  <c r="D36" i="1" s="1"/>
  <c r="D27" i="2"/>
  <c r="D35" i="7"/>
  <c r="D23" i="7"/>
  <c r="D32" i="8" l="1"/>
  <c r="D33" i="8" s="1"/>
  <c r="D31" i="7" s="1"/>
  <c r="G32" i="8"/>
  <c r="D30" i="2"/>
  <c r="G31" i="2" s="1"/>
  <c r="D32" i="2" s="1"/>
  <c r="D28" i="1"/>
  <c r="D19" i="1"/>
  <c r="D42" i="1"/>
  <c r="D44" i="1" l="1"/>
  <c r="G32" i="2" l="1"/>
  <c r="D33" i="2" s="1"/>
  <c r="G33" i="2" l="1"/>
  <c r="D34" i="2" s="1"/>
  <c r="F31" i="7"/>
  <c r="D33" i="7"/>
  <c r="D35" i="2" l="1"/>
  <c r="D38" i="1" s="1"/>
  <c r="D40" i="1" l="1"/>
  <c r="F38" i="1"/>
  <c r="G34" i="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uthor>
  </authors>
  <commentList>
    <comment ref="D7" authorId="0" shapeId="0" xr:uid="{7E61E7C2-4C01-C040-B8A0-F67FAE8C55B5}">
      <text>
        <r>
          <rPr>
            <sz val="10"/>
            <color rgb="FF000000"/>
            <rFont val="Yu Gothic UI"/>
          </rPr>
          <t>このセルに入力した倍率が</t>
        </r>
        <r>
          <rPr>
            <sz val="10"/>
            <color rgb="FF000000"/>
            <rFont val="Yu Gothic UI"/>
          </rPr>
          <t xml:space="preserve">
</t>
        </r>
        <r>
          <rPr>
            <sz val="10"/>
            <color rgb="FF000000"/>
            <rFont val="Yu Gothic UI"/>
          </rPr>
          <t>優先反映されます</t>
        </r>
      </text>
    </comment>
    <comment ref="D12" authorId="0" shapeId="0" xr:uid="{F0934232-B773-6B48-9317-7DBD45DFDF8D}">
      <text>
        <r>
          <rPr>
            <sz val="10"/>
            <color rgb="FF000000"/>
            <rFont val="Yu Gothic UI"/>
          </rPr>
          <t>このセルに入力した倍率が</t>
        </r>
        <r>
          <rPr>
            <sz val="10"/>
            <color rgb="FF000000"/>
            <rFont val="Yu Gothic UI"/>
          </rPr>
          <t xml:space="preserve">
</t>
        </r>
        <r>
          <rPr>
            <sz val="10"/>
            <color rgb="FF000000"/>
            <rFont val="Yu Gothic UI"/>
          </rPr>
          <t>優先反映されます</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author>
  </authors>
  <commentList>
    <comment ref="D11" authorId="0" shapeId="0" xr:uid="{3475BBAF-25CC-E94A-B30D-528B7A0B8707}">
      <text>
        <r>
          <rPr>
            <sz val="10"/>
            <color rgb="FF000000"/>
            <rFont val="Yu Gothic UI"/>
          </rPr>
          <t>このセルに入力した倍率が</t>
        </r>
        <r>
          <rPr>
            <sz val="10"/>
            <color rgb="FF000000"/>
            <rFont val="Yu Gothic UI"/>
          </rPr>
          <t xml:space="preserve">
</t>
        </r>
        <r>
          <rPr>
            <sz val="10"/>
            <color rgb="FF000000"/>
            <rFont val="Yu Gothic UI"/>
          </rPr>
          <t>優先反映されます</t>
        </r>
      </text>
    </comment>
    <comment ref="D16" authorId="0" shapeId="0" xr:uid="{597B632E-81EE-374E-900D-35153E1CE101}">
      <text>
        <r>
          <rPr>
            <sz val="10"/>
            <color rgb="FF000000"/>
            <rFont val="Yu Gothic UI"/>
          </rPr>
          <t>このセルに入力した倍率が</t>
        </r>
        <r>
          <rPr>
            <sz val="10"/>
            <color rgb="FF000000"/>
            <rFont val="Yu Gothic UI"/>
          </rPr>
          <t xml:space="preserve">
</t>
        </r>
        <r>
          <rPr>
            <sz val="10"/>
            <color rgb="FF000000"/>
            <rFont val="Yu Gothic UI"/>
          </rPr>
          <t>優先反映されます</t>
        </r>
      </text>
    </comment>
  </commentList>
</comments>
</file>

<file path=xl/sharedStrings.xml><?xml version="1.0" encoding="utf-8"?>
<sst xmlns="http://schemas.openxmlformats.org/spreadsheetml/2006/main" count="385" uniqueCount="193">
  <si>
    <t>通常ライブ</t>
    <phoneticPr fontId="1"/>
  </si>
  <si>
    <t>通常ライブスコア</t>
    <phoneticPr fontId="1"/>
  </si>
  <si>
    <t>イベント楽曲スコア</t>
    <phoneticPr fontId="1"/>
  </si>
  <si>
    <t>%</t>
    <phoneticPr fontId="1"/>
  </si>
  <si>
    <t>スコアボーナス</t>
    <phoneticPr fontId="1"/>
  </si>
  <si>
    <t>通常ライブポイント</t>
    <rPh sb="0" eb="1">
      <t>ツウジョウライブ</t>
    </rPh>
    <phoneticPr fontId="1"/>
  </si>
  <si>
    <t>10BPあたり</t>
    <phoneticPr fontId="1"/>
  </si>
  <si>
    <t>イベント楽曲ライブ</t>
    <phoneticPr fontId="1"/>
  </si>
  <si>
    <t>万</t>
    <rPh sb="0" eb="1">
      <t>マｎ</t>
    </rPh>
    <phoneticPr fontId="1"/>
  </si>
  <si>
    <t>イベントライブポイント</t>
    <phoneticPr fontId="1"/>
  </si>
  <si>
    <t>目標ポイント</t>
    <rPh sb="0" eb="2">
      <t>モクヒョウ</t>
    </rPh>
    <phoneticPr fontId="1"/>
  </si>
  <si>
    <t>万ポイント</t>
    <rPh sb="0" eb="1">
      <t>マｎ</t>
    </rPh>
    <phoneticPr fontId="1"/>
  </si>
  <si>
    <t>通常ライブ10BP＋イベント</t>
    <rPh sb="0" eb="2">
      <t>ライブ</t>
    </rPh>
    <phoneticPr fontId="1"/>
  </si>
  <si>
    <t>1BPあたり</t>
    <phoneticPr fontId="1"/>
  </si>
  <si>
    <t>個</t>
    <rPh sb="0" eb="1">
      <t>コ</t>
    </rPh>
    <phoneticPr fontId="1"/>
  </si>
  <si>
    <t>使用BP</t>
    <rPh sb="0" eb="2">
      <t>シヨウ</t>
    </rPh>
    <phoneticPr fontId="1"/>
  </si>
  <si>
    <t>特効あり</t>
    <phoneticPr fontId="1"/>
  </si>
  <si>
    <t>パス消費数</t>
    <phoneticPr fontId="1"/>
  </si>
  <si>
    <t>用意すべきダイヤ数</t>
    <phoneticPr fontId="1"/>
  </si>
  <si>
    <t>BP</t>
    <phoneticPr fontId="1"/>
  </si>
  <si>
    <t>1枚</t>
  </si>
  <si>
    <t>5枚</t>
  </si>
  <si>
    <t>通常ライブ特効倍率</t>
    <rPh sb="0" eb="4">
      <t>トッコウバイリツ</t>
    </rPh>
    <phoneticPr fontId="1"/>
  </si>
  <si>
    <t>イベント楽曲特効倍率</t>
    <phoneticPr fontId="1"/>
  </si>
  <si>
    <t>獲得予定ホイッスル</t>
    <phoneticPr fontId="1"/>
  </si>
  <si>
    <t>獲得予定ダイヤ</t>
    <rPh sb="0" eb="1">
      <t>カクトクヨテイ</t>
    </rPh>
    <phoneticPr fontId="1"/>
  </si>
  <si>
    <t>現在所有ダイヤ</t>
    <rPh sb="0" eb="1">
      <t>ゲンザイショユウダイヤ</t>
    </rPh>
    <phoneticPr fontId="1"/>
  </si>
  <si>
    <t>あと</t>
    <phoneticPr fontId="1"/>
  </si>
  <si>
    <t>枚数</t>
  </si>
  <si>
    <t>★3</t>
  </si>
  <si>
    <t>★4</t>
  </si>
  <si>
    <t>★5</t>
  </si>
  <si>
    <t>2枚</t>
  </si>
  <si>
    <t>3枚</t>
  </si>
  <si>
    <t>4枚</t>
  </si>
  <si>
    <t>カード枚数</t>
  </si>
  <si>
    <t>回</t>
    <rPh sb="0" eb="1">
      <t>カイ</t>
    </rPh>
    <phoneticPr fontId="1"/>
  </si>
  <si>
    <t>通常ライブプレイ回数</t>
    <phoneticPr fontId="1"/>
  </si>
  <si>
    <t>時間</t>
    <rPh sb="0" eb="2">
      <t>ジカｎ</t>
    </rPh>
    <phoneticPr fontId="1"/>
  </si>
  <si>
    <t>使用BPあたり</t>
    <phoneticPr fontId="1"/>
  </si>
  <si>
    <t>通常ライブプレイ時間</t>
    <phoneticPr fontId="1"/>
  </si>
  <si>
    <t>【おまけ】</t>
    <phoneticPr fontId="1"/>
  </si>
  <si>
    <t>ガチャの撤退ライン</t>
    <phoneticPr fontId="1"/>
  </si>
  <si>
    <t>★5</t>
    <phoneticPr fontId="1"/>
  </si>
  <si>
    <t>★4</t>
    <phoneticPr fontId="1"/>
  </si>
  <si>
    <t>★3</t>
    <phoneticPr fontId="1"/>
  </si>
  <si>
    <t>合計</t>
    <rPh sb="0" eb="2">
      <t>ゴウケイ</t>
    </rPh>
    <phoneticPr fontId="1"/>
  </si>
  <si>
    <t>反映倍率</t>
    <phoneticPr fontId="1"/>
  </si>
  <si>
    <t>セルの文字が「####」になるときはセルの幅を広げてください</t>
    <rPh sb="0" eb="30">
      <t>ヒロゲテクダサイ</t>
    </rPh>
    <phoneticPr fontId="1"/>
  </si>
  <si>
    <t>参考：https://ota-life.com/music-newsong/#jump</t>
    <rPh sb="0" eb="2">
      <t>：</t>
    </rPh>
    <phoneticPr fontId="1"/>
  </si>
  <si>
    <t>一日に使える自然回復BP</t>
    <rPh sb="0" eb="4">
      <t>シゼンカイフク</t>
    </rPh>
    <phoneticPr fontId="1"/>
  </si>
  <si>
    <t>【使い方】</t>
    <phoneticPr fontId="1"/>
  </si>
  <si>
    <t>楽曲参加パス</t>
    <rPh sb="0" eb="2">
      <t>ガッキョク</t>
    </rPh>
    <phoneticPr fontId="1"/>
  </si>
  <si>
    <t>枚</t>
    <rPh sb="0" eb="1">
      <t>マイ</t>
    </rPh>
    <phoneticPr fontId="1"/>
  </si>
  <si>
    <t>pt</t>
    <phoneticPr fontId="1"/>
  </si>
  <si>
    <t>消費数</t>
    <phoneticPr fontId="1"/>
  </si>
  <si>
    <t>残りパス枚数</t>
    <rPh sb="0" eb="2">
      <t>マイスウ</t>
    </rPh>
    <phoneticPr fontId="1"/>
  </si>
  <si>
    <t>トータルプレイ時間</t>
    <phoneticPr fontId="1"/>
  </si>
  <si>
    <t>イベント楽曲</t>
    <rPh sb="0" eb="2">
      <t>イベントガッキョク</t>
    </rPh>
    <phoneticPr fontId="1"/>
  </si>
  <si>
    <t>ファン人数</t>
    <phoneticPr fontId="1"/>
  </si>
  <si>
    <t>人</t>
    <rPh sb="0" eb="1">
      <t>ニｎ</t>
    </rPh>
    <phoneticPr fontId="1"/>
  </si>
  <si>
    <t>獲得ファン人数（１人あたり）</t>
    <phoneticPr fontId="1"/>
  </si>
  <si>
    <t>連までに特効が引けると得</t>
    <rPh sb="0" eb="1">
      <t>レｎ</t>
    </rPh>
    <phoneticPr fontId="1"/>
  </si>
  <si>
    <t>なにか不具合等ございましたら</t>
    <rPh sb="0" eb="3">
      <t>フグアイ</t>
    </rPh>
    <phoneticPr fontId="1"/>
  </si>
  <si>
    <t>X（旧Twitter）</t>
    <rPh sb="0" eb="1">
      <t>キュウ</t>
    </rPh>
    <phoneticPr fontId="1"/>
  </si>
  <si>
    <t>お問合せフォーム</t>
    <phoneticPr fontId="1"/>
  </si>
  <si>
    <t>等からご連絡いただけますと幸いです。</t>
    <rPh sb="0" eb="1">
      <t>サイワイデス</t>
    </rPh>
    <phoneticPr fontId="1"/>
  </si>
  <si>
    <t>著作権は放棄しておりません。</t>
    <rPh sb="0" eb="2">
      <t>ホウキシテオリマセｎ</t>
    </rPh>
    <phoneticPr fontId="1"/>
  </si>
  <si>
    <t>再配布・改変後の再配布・自作発言等は禁止です。</t>
    <rPh sb="0" eb="3">
      <t>・カイヘｎ</t>
    </rPh>
    <phoneticPr fontId="1"/>
  </si>
  <si>
    <t>実際の結果と異なる場合でも責任は負いかねます。</t>
    <rPh sb="0" eb="2">
      <t>。</t>
    </rPh>
    <phoneticPr fontId="1"/>
  </si>
  <si>
    <t>ご了承の上ご利用ください。</t>
    <rPh sb="0" eb="2">
      <t>。</t>
    </rPh>
    <phoneticPr fontId="1"/>
  </si>
  <si>
    <t>【はじめに】</t>
    <phoneticPr fontId="1"/>
  </si>
  <si>
    <t>このツールがお役に立てた際にはSNS等でシェアしていただけると嬉しいです。</t>
    <rPh sb="0" eb="1">
      <t>タテタトウ</t>
    </rPh>
    <phoneticPr fontId="1"/>
  </si>
  <si>
    <t>シェアしていただける場合は、下記配布ページのURLを共有していただけますと幸いです。</t>
    <rPh sb="0" eb="2">
      <t>カキ</t>
    </rPh>
    <phoneticPr fontId="1"/>
  </si>
  <si>
    <t>←このセルに入力した数字は優先反映されます</t>
    <rPh sb="0" eb="2">
      <t>スウジ</t>
    </rPh>
    <phoneticPr fontId="1"/>
  </si>
  <si>
    <t>https://x.com/lop_0125</t>
    <phoneticPr fontId="1"/>
  </si>
  <si>
    <t>https://ota-life.com/contact/</t>
    <phoneticPr fontId="1"/>
  </si>
  <si>
    <t>黄色・赤色のセルに入力すると、青色セルに結果が表示されます。</t>
    <rPh sb="0" eb="2">
      <t>ニ</t>
    </rPh>
    <phoneticPr fontId="1"/>
  </si>
  <si>
    <t>https://ota-life.com/music-newsong-excel/</t>
    <phoneticPr fontId="1"/>
  </si>
  <si>
    <t>使い方もこちらのページからご覧いただけます。</t>
    <rPh sb="0" eb="1">
      <t>。</t>
    </rPh>
    <phoneticPr fontId="1"/>
  </si>
  <si>
    <t>計算結果はあくまでも目安になります。</t>
    <rPh sb="0" eb="18">
      <t>。メヤス</t>
    </rPh>
    <phoneticPr fontId="1"/>
  </si>
  <si>
    <t>トータル使用BP</t>
    <rPh sb="0" eb="8">
      <t>シヨウ</t>
    </rPh>
    <phoneticPr fontId="1"/>
  </si>
  <si>
    <t>現在ポイント</t>
    <phoneticPr fontId="1"/>
  </si>
  <si>
    <t>特効合計ポイント</t>
    <phoneticPr fontId="1"/>
  </si>
  <si>
    <t>特効なし</t>
    <phoneticPr fontId="1"/>
  </si>
  <si>
    <t>パス所持分</t>
    <phoneticPr fontId="1"/>
  </si>
  <si>
    <t>目標までのポイント数</t>
    <phoneticPr fontId="1"/>
  </si>
  <si>
    <t>残りポイント数</t>
    <phoneticPr fontId="1"/>
  </si>
  <si>
    <t>目標までの使用BP</t>
    <rPh sb="0" eb="9">
      <t>シヨウ</t>
    </rPh>
    <phoneticPr fontId="1"/>
  </si>
  <si>
    <t>（特効なしの場合）</t>
    <rPh sb="0" eb="1">
      <t>トッコウナシノ</t>
    </rPh>
    <phoneticPr fontId="1"/>
  </si>
  <si>
    <t>参加パス所持数</t>
    <rPh sb="0" eb="3">
      <t>ショジスウ</t>
    </rPh>
    <phoneticPr fontId="1"/>
  </si>
  <si>
    <t>ライブでの獲得リボン数</t>
    <phoneticPr fontId="1"/>
  </si>
  <si>
    <t>１日あたりの目標ポイント数</t>
    <rPh sb="0" eb="2">
      <t>モクヒョウ</t>
    </rPh>
    <phoneticPr fontId="1"/>
  </si>
  <si>
    <t>現時点から目標までのプレイ時間</t>
    <rPh sb="0" eb="2">
      <t>モクヒョウ</t>
    </rPh>
    <phoneticPr fontId="1"/>
  </si>
  <si>
    <t>シャッフルスカウト</t>
    <phoneticPr fontId="1"/>
  </si>
  <si>
    <t>基本スカウト</t>
    <phoneticPr fontId="1"/>
  </si>
  <si>
    <t>スカウトの種類</t>
    <phoneticPr fontId="1"/>
  </si>
  <si>
    <t>カード枚数</t>
    <phoneticPr fontId="1"/>
  </si>
  <si>
    <t>★4カード二種</t>
    <rPh sb="0" eb="2">
      <t>ニシュ</t>
    </rPh>
    <phoneticPr fontId="1"/>
  </si>
  <si>
    <t>★5カード二種</t>
    <rPh sb="0" eb="2">
      <t>ニシュ</t>
    </rPh>
    <phoneticPr fontId="1"/>
  </si>
  <si>
    <t>★4カード二種</t>
    <rPh sb="0" eb="1">
      <t>ニシュ</t>
    </rPh>
    <phoneticPr fontId="1"/>
  </si>
  <si>
    <t>★5カード二種</t>
    <rPh sb="0" eb="1">
      <t>ニシュ</t>
    </rPh>
    <phoneticPr fontId="1"/>
  </si>
  <si>
    <t>合計編成枚数</t>
    <rPh sb="0" eb="2">
      <t>ゴウケイ</t>
    </rPh>
    <phoneticPr fontId="1"/>
  </si>
  <si>
    <t>星5二種（スカウト風変わりな終止たちなど）</t>
    <rPh sb="0" eb="2">
      <t>ニシュ</t>
    </rPh>
    <phoneticPr fontId="1"/>
  </si>
  <si>
    <t>星5カード1種、星4カード1種、星3カード1種以上のスカウトの場合</t>
    <rPh sb="0" eb="1">
      <t>ホシ５</t>
    </rPh>
    <phoneticPr fontId="1"/>
  </si>
  <si>
    <t>星5カード1種、星4カード1種、星3カードなしのスカウトの場合</t>
    <rPh sb="0" eb="1">
      <t>ホシ５</t>
    </rPh>
    <phoneticPr fontId="1"/>
  </si>
  <si>
    <t>日別目標</t>
    <phoneticPr fontId="1"/>
  </si>
  <si>
    <t>イベント開始日</t>
    <phoneticPr fontId="1"/>
  </si>
  <si>
    <t>通常ライブ特効倍率</t>
    <phoneticPr fontId="1"/>
  </si>
  <si>
    <t>【通常ライブ】</t>
    <phoneticPr fontId="1"/>
  </si>
  <si>
    <t>【イベント楽曲】</t>
    <phoneticPr fontId="1"/>
  </si>
  <si>
    <t>黄色セルを入力してください。</t>
    <rPh sb="0" eb="2">
      <t>キイロ</t>
    </rPh>
    <phoneticPr fontId="1"/>
  </si>
  <si>
    <t>ライブに編成できるカードは最大7枚です。</t>
    <rPh sb="0" eb="2">
      <t>ヘンセイデキルカードハ</t>
    </rPh>
    <phoneticPr fontId="1"/>
  </si>
  <si>
    <t>【「特効計算」シート】</t>
    <rPh sb="0" eb="1">
      <t>トッコウケイサｎ</t>
    </rPh>
    <phoneticPr fontId="1"/>
  </si>
  <si>
    <t>通常ライブ・イベント楽曲それぞれ、スカウトの種類とカード枚数を選択します。</t>
    <rPh sb="0" eb="2">
      <t>・</t>
    </rPh>
    <phoneticPr fontId="1"/>
  </si>
  <si>
    <t>特効なしの場合は入力不要です。</t>
    <rPh sb="0" eb="2">
      <t>ハ</t>
    </rPh>
    <phoneticPr fontId="1"/>
  </si>
  <si>
    <t>通常ライブ・イベント楽曲それぞれ、カードが合計7枚以内になるように調整してください。</t>
    <rPh sb="0" eb="1">
      <t>ツウジョウライブ</t>
    </rPh>
    <phoneticPr fontId="1"/>
  </si>
  <si>
    <t>【「イベント開始時」シート】</t>
    <rPh sb="0" eb="1">
      <t>トッコウケイサｎ</t>
    </rPh>
    <phoneticPr fontId="1"/>
  </si>
  <si>
    <t>イベント開始時から目標達成まで、どれくらいダイヤ数や時間が必要か計算できます。</t>
    <rPh sb="0" eb="2">
      <t>モクヒョウ</t>
    </rPh>
    <phoneticPr fontId="1"/>
  </si>
  <si>
    <t>黄色・赤色セルに入力すると、青色セルに結果が表示されます。</t>
    <rPh sb="0" eb="2">
      <t>ニ</t>
    </rPh>
    <phoneticPr fontId="1"/>
  </si>
  <si>
    <t>【「途中経過用」シート】</t>
    <rPh sb="0" eb="12">
      <t>トチュウケイカヨウ</t>
    </rPh>
    <phoneticPr fontId="1"/>
  </si>
  <si>
    <t>（すべてダイヤを使用した場合）</t>
    <rPh sb="0" eb="1">
      <t>ダイヤスウニ</t>
    </rPh>
    <phoneticPr fontId="1"/>
  </si>
  <si>
    <t>【「イベント進捗」シート】</t>
    <rPh sb="0" eb="2">
      <t>シンチョクトチュウケイカヨウ</t>
    </rPh>
    <phoneticPr fontId="1"/>
  </si>
  <si>
    <t>イベント進捗状況をグラフで確認できます。</t>
    <rPh sb="0" eb="2">
      <t>カクニンデキマス</t>
    </rPh>
    <phoneticPr fontId="1"/>
  </si>
  <si>
    <t>特効ボーナス対象スカウトが2つある場合、スカウトの種類ごとに入力します。</t>
    <rPh sb="0" eb="36">
      <t>ニュウリョクシマス</t>
    </rPh>
    <phoneticPr fontId="1"/>
  </si>
  <si>
    <t>【スカウトの種類】</t>
    <phoneticPr fontId="1"/>
  </si>
  <si>
    <t>スカウトの種類、特効倍率は「【参考】特効倍率」シートを御覧ください。</t>
    <phoneticPr fontId="1"/>
  </si>
  <si>
    <t>・基本スカウト</t>
    <rPh sb="0" eb="1">
      <t>キホｎ</t>
    </rPh>
    <phoneticPr fontId="1"/>
  </si>
  <si>
    <t>→★5一種、★4一種、★3一種以上</t>
    <rPh sb="0" eb="1">
      <t>ホシ</t>
    </rPh>
    <phoneticPr fontId="1"/>
  </si>
  <si>
    <t>・シャッフルスカウト</t>
    <rPh sb="0" eb="1">
      <t>・</t>
    </rPh>
    <phoneticPr fontId="1"/>
  </si>
  <si>
    <t>→★5一種、★4一種、★3なし</t>
    <phoneticPr fontId="1"/>
  </si>
  <si>
    <t>・★4カード二種</t>
    <rPh sb="0" eb="2">
      <t>ニシュ</t>
    </rPh>
    <phoneticPr fontId="1"/>
  </si>
  <si>
    <t>→★5一種、★4二種、★3一種</t>
    <rPh sb="0" eb="2">
      <t>★5</t>
    </rPh>
    <phoneticPr fontId="1"/>
  </si>
  <si>
    <t>・★5カード二種</t>
    <rPh sb="0" eb="2">
      <t>ニシュ</t>
    </rPh>
    <phoneticPr fontId="1"/>
  </si>
  <si>
    <t>→★5二種、★4二種、★3なし</t>
    <rPh sb="0" eb="2">
      <t>ニシュ</t>
    </rPh>
    <phoneticPr fontId="1"/>
  </si>
  <si>
    <t>シャッフルイベント連動スカウトは今後のイベント内容によってはスカウトで排出される</t>
    <rPh sb="0" eb="2">
      <t>レンドウ</t>
    </rPh>
    <phoneticPr fontId="1"/>
  </si>
  <si>
    <t>カードの枚数が変更になる可能性があります。</t>
    <rPh sb="0" eb="2">
      <t>ヘンコウ</t>
    </rPh>
    <phoneticPr fontId="1"/>
  </si>
  <si>
    <t>今までに実装された特効スカウトの倍率には対応しています。</t>
    <rPh sb="0" eb="2">
      <t>トッコウスカウト</t>
    </rPh>
    <phoneticPr fontId="1"/>
  </si>
  <si>
    <t>今後新たな倍率が実装された場合には順次対応予定です。</t>
    <rPh sb="0" eb="1">
      <t>アラタナバイリツ</t>
    </rPh>
    <phoneticPr fontId="1"/>
  </si>
  <si>
    <t>名称にとらわれず、スカウトから排出されるカードの枚数を基準にスカウトの種類を選択してください。</t>
    <rPh sb="0" eb="2">
      <t>メイショウ</t>
    </rPh>
    <phoneticPr fontId="1"/>
  </si>
  <si>
    <t>スプレッドシートの場合</t>
    <phoneticPr fontId="1"/>
  </si>
  <si>
    <t>「ファイル」▷「コピーを作成」でコピーしてから利用してください。</t>
    <rPh sb="0" eb="2">
      <t>リヨウシテクダサイ</t>
    </rPh>
    <phoneticPr fontId="1"/>
  </si>
  <si>
    <t>リクエストを頂いても承認できません。</t>
    <rPh sb="0" eb="1">
      <t>イタダイテモショウニンデキマセｎ</t>
    </rPh>
    <phoneticPr fontId="1"/>
  </si>
  <si>
    <t>「ファイル」▷「ダウンロード」からExcel形式でのDLも可能です。</t>
    <rPh sb="0" eb="2">
      <t>ケイシキ</t>
    </rPh>
    <phoneticPr fontId="1"/>
  </si>
  <si>
    <t>単位：万pt</t>
    <rPh sb="0" eb="2">
      <t>タンイ</t>
    </rPh>
    <phoneticPr fontId="1"/>
  </si>
  <si>
    <t>mm/dd形式で入力してください</t>
    <rPh sb="0" eb="2">
      <t>ケイシキデニュウリョクシテクダサイ</t>
    </rPh>
    <phoneticPr fontId="1"/>
  </si>
  <si>
    <t>星5カード1種、星4カード2種、星3カード1種のスカウトの場合</t>
    <rPh sb="0" eb="1">
      <t>ホシ５</t>
    </rPh>
    <phoneticPr fontId="1"/>
  </si>
  <si>
    <t>星4二種（スカウトルックバックなど）</t>
    <rPh sb="0" eb="2">
      <t>２シュ</t>
    </rPh>
    <phoneticPr fontId="1"/>
  </si>
  <si>
    <t>特効合計ポイント</t>
  </si>
  <si>
    <t>ポイント数</t>
    <phoneticPr fontId="1"/>
  </si>
  <si>
    <t>所持パス数</t>
    <rPh sb="0" eb="1">
      <t>スウ</t>
    </rPh>
    <phoneticPr fontId="1"/>
  </si>
  <si>
    <t>パス込ポイント数</t>
    <rPh sb="0" eb="1">
      <t>コミ</t>
    </rPh>
    <phoneticPr fontId="1"/>
  </si>
  <si>
    <t>イベント開始日、日別のポイント数を入力してください。</t>
    <rPh sb="0" eb="4">
      <t>イベントカイシビ</t>
    </rPh>
    <phoneticPr fontId="1"/>
  </si>
  <si>
    <t>未使用で所持しているイベント楽曲参加パスがあれば、所持数を入力することでパス分も含めたポイント数を計算できます。</t>
    <rPh sb="0" eb="3">
      <t>シテイル</t>
    </rPh>
    <phoneticPr fontId="1"/>
  </si>
  <si>
    <t>・目標ポイント</t>
    <rPh sb="0" eb="1">
      <t>・</t>
    </rPh>
    <phoneticPr fontId="1"/>
  </si>
  <si>
    <t>自分の目標ポイントを入力します。</t>
    <phoneticPr fontId="1"/>
  </si>
  <si>
    <t>参考）★5一枚：350万pt、★4完凸・★5三枚：1100万pt、★5四枚：1500万pt、★5完凸：2200万pt</t>
    <phoneticPr fontId="1"/>
  </si>
  <si>
    <t>・通常ライブスコア</t>
    <rPh sb="0" eb="1">
      <t>・</t>
    </rPh>
    <phoneticPr fontId="1"/>
  </si>
  <si>
    <t>通常ライブで取れるスコアの予想値を入力します。</t>
    <phoneticPr fontId="1"/>
  </si>
  <si>
    <t>絶対出せるスコアの入力がおすすめです。</t>
    <phoneticPr fontId="1"/>
  </si>
  <si>
    <t>・通常ライブ特効倍率</t>
    <rPh sb="0" eb="1">
      <t>ツウジョウライブ</t>
    </rPh>
    <phoneticPr fontId="1"/>
  </si>
  <si>
    <t>「特効計算」シートに入力済みなら自動入力されます。</t>
    <phoneticPr fontId="1"/>
  </si>
  <si>
    <t>「D7」セルは倍率の直接入力が可能。</t>
    <phoneticPr fontId="1"/>
  </si>
  <si>
    <t>D7セルに入力されているとその倍率を優先します。</t>
    <phoneticPr fontId="1"/>
  </si>
  <si>
    <t>イレギュラーな特効ボーナスが実装された場合は、直接入力を使用してください。</t>
    <phoneticPr fontId="1"/>
  </si>
  <si>
    <t>・イベント楽曲スコア</t>
    <rPh sb="0" eb="1">
      <t>・</t>
    </rPh>
    <phoneticPr fontId="1"/>
  </si>
  <si>
    <t>イベント楽曲で取れるスコアの予想値を入力します。</t>
    <phoneticPr fontId="1"/>
  </si>
  <si>
    <t>・イベント楽曲特効倍率</t>
    <rPh sb="0" eb="1">
      <t>ツウジョウライブ</t>
    </rPh>
    <phoneticPr fontId="1"/>
  </si>
  <si>
    <t>「D12」セルは倍率の直接入力が可能。</t>
    <phoneticPr fontId="1"/>
  </si>
  <si>
    <t>D12セルに入力されているとその倍率を優先します。</t>
    <phoneticPr fontId="1"/>
  </si>
  <si>
    <t>・使用BP</t>
    <rPh sb="0" eb="1">
      <t>シヨウ</t>
    </rPh>
    <phoneticPr fontId="1"/>
  </si>
  <si>
    <t>通常ライブで使用するBPを選択します。</t>
    <phoneticPr fontId="1"/>
  </si>
  <si>
    <t>目標ポイント別のおすすめ使用BPは下記記事を参考にしてください。</t>
    <phoneticPr fontId="1"/>
  </si>
  <si>
    <t>ここまで入力すると、目標達成までに使用するBP数がわかります。</t>
    <phoneticPr fontId="1"/>
  </si>
  <si>
    <t>・一日に使える自然回復BP/獲得予定ホイッスル/獲得予定ダイヤ/現在所有ダイヤ</t>
    <rPh sb="0" eb="1">
      <t>イチニチニ</t>
    </rPh>
    <phoneticPr fontId="1"/>
  </si>
  <si>
    <t>入力は任意ですが、入力すると「あと何個ダイヤを用意するべきか」がわかります。</t>
    <phoneticPr fontId="1"/>
  </si>
  <si>
    <t>「途中経過用」シートは、目標ポイント数・現在のポイント数・所持パス数を入力することで、</t>
    <rPh sb="0" eb="2">
      <t>モクヒョウポイントスウ</t>
    </rPh>
    <phoneticPr fontId="1"/>
  </si>
  <si>
    <t>現時点から目標達成までにあとどれくらいかかるかを知ることができます。</t>
    <phoneticPr fontId="1"/>
  </si>
  <si>
    <t>日別目標まで</t>
    <phoneticPr fontId="1"/>
  </si>
  <si>
    <t>最終目標まで</t>
    <phoneticPr fontId="1"/>
  </si>
  <si>
    <t>星5カード2種、星4カード2種、星3カードなしのスカウトの場合</t>
    <rPh sb="0" eb="1">
      <t>ホシ５</t>
    </rPh>
    <phoneticPr fontId="1"/>
  </si>
  <si>
    <t>基本スカウト</t>
  </si>
  <si>
    <t>特効なしの場合</t>
    <rPh sb="0" eb="2">
      <t xml:space="preserve">トッコウナシ </t>
    </rPh>
    <rPh sb="5" eb="7">
      <t xml:space="preserve">バアイ </t>
    </rPh>
    <phoneticPr fontId="1"/>
  </si>
  <si>
    <t>プレイ回数</t>
    <phoneticPr fontId="1"/>
  </si>
  <si>
    <t>回</t>
    <rPh sb="0" eb="1">
      <t xml:space="preserve">カイ </t>
    </rPh>
    <phoneticPr fontId="1"/>
  </si>
  <si>
    <t>使用BP</t>
    <rPh sb="0" eb="2">
      <t xml:space="preserve">シヨウ </t>
    </rPh>
    <phoneticPr fontId="1"/>
  </si>
  <si>
    <t>パス消費数</t>
  </si>
  <si>
    <t>←通常ライブと同じ特効を使用する場合はチェック</t>
    <rPh sb="1" eb="3">
      <t xml:space="preserve">ツウジョウライブ </t>
    </rPh>
    <rPh sb="7" eb="8">
      <t xml:space="preserve">オナジトッコウヲ </t>
    </rPh>
    <rPh sb="12" eb="14">
      <t xml:space="preserve">シヨウスルバアイ </t>
    </rPh>
    <phoneticPr fontId="1"/>
  </si>
  <si>
    <t>通常ライブプレイ回数</t>
    <rPh sb="0" eb="2">
      <t xml:space="preserve">ツウジョウライブ </t>
    </rPh>
    <phoneticPr fontId="1"/>
  </si>
  <si>
    <t>目標ポイント数、イベント楽曲のスコア等は「イベント開始時」シートを参照します。</t>
    <rPh sb="0" eb="2">
      <t xml:space="preserve">モクヒョウポイントスウ </t>
    </rPh>
    <rPh sb="8" eb="10">
      <t>サンショウシマス</t>
    </rPh>
    <rPh sb="18" eb="19">
      <t xml:space="preserve">トウ </t>
    </rPh>
    <phoneticPr fontId="1"/>
  </si>
  <si>
    <t>枚</t>
    <rPh sb="0" eb="1">
      <t xml:space="preserve">マイ </t>
    </rPh>
    <phoneticPr fontId="1"/>
  </si>
  <si>
    <t>所持数</t>
    <rPh sb="0" eb="3">
      <t xml:space="preserve">ショジスウ </t>
    </rPh>
    <phoneticPr fontId="1"/>
  </si>
  <si>
    <r>
      <t>メガホン1個=ホイッスル</t>
    </r>
    <r>
      <rPr>
        <sz val="12"/>
        <color theme="1"/>
        <rFont val="Meiryo"/>
        <family val="2"/>
      </rPr>
      <t>10個分として入力してください。</t>
    </r>
    <rPh sb="15" eb="16">
      <t xml:space="preserve">ブｎ </t>
    </rPh>
    <rPh sb="19" eb="21">
      <t xml:space="preserve">ニュウリョクシテクダサイ </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</si>
</sst>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76" formatCode="[h]&quot;時間&quot;mm&quot;分&quot;"/>
    <numFmt numFmtId="177" formatCode="#,##0_);[Red]\(#,##0\)"/>
    <numFmt numFmtId="178" formatCode="#,##0.00_ "/>
    <numFmt numFmtId="179" formatCode="#,##0_ "/>
    <numFmt numFmtId="180" formatCode="0&quot;BP&quot;"/>
    <numFmt numFmtId="181" formatCode="&quot;約&quot;#,##0"/>
    <numFmt numFmtId="182" formatCode="0_);[Red]\(0\)"/>
    <numFmt numFmtId="183" formatCode="0_ "/>
    <numFmt numFmtId="184" formatCode="#,##0_ ;[Red]\-#,##0\ "/>
  </numFmts>
  <fonts count="16">
    <font>
      <sz val="12"/>
      <color theme="1"/>
      <name val="Meiryo"/>
      <family val="2"/>
      <charset val="128"/>
    </font>
    <font>
      <sz val="6"/>
      <name val="Meiryo"/>
      <family val="2"/>
      <charset val="128"/>
    </font>
    <font>
      <b/>
      <sz val="12"/>
      <color theme="1"/>
      <name val="Meiryo"/>
      <family val="2"/>
      <charset val="128"/>
    </font>
    <font>
      <sz val="12"/>
      <color theme="1"/>
      <name val="メイリオ"/>
      <family val="2"/>
      <charset val="128"/>
    </font>
    <font>
      <u/>
      <sz val="12"/>
      <color theme="10"/>
      <name val="Meiryo"/>
      <family val="2"/>
      <charset val="128"/>
    </font>
    <font>
      <sz val="10"/>
      <color rgb="FF000000"/>
      <name val="Yu Gothic UI"/>
    </font>
    <font>
      <sz val="12"/>
      <name val="Meiryo"/>
      <family val="2"/>
      <charset val="128"/>
    </font>
    <font>
      <sz val="14"/>
      <color theme="1"/>
      <name val="Meiryo"/>
      <family val="2"/>
      <charset val="128"/>
    </font>
    <font>
      <b/>
      <sz val="14"/>
      <color theme="1"/>
      <name val="Meiryo"/>
      <family val="2"/>
      <charset val="128"/>
    </font>
    <font>
      <b/>
      <sz val="24"/>
      <color theme="1"/>
      <name val="Meiryo"/>
      <family val="2"/>
      <charset val="128"/>
    </font>
    <font>
      <b/>
      <sz val="18"/>
      <color theme="0"/>
      <name val="Meiryo"/>
      <family val="2"/>
      <charset val="128"/>
    </font>
    <font>
      <b/>
      <sz val="14"/>
      <color theme="4" tint="-0.499984740745262"/>
      <name val="Meiryo"/>
      <family val="2"/>
      <charset val="128"/>
    </font>
    <font>
      <sz val="12"/>
      <color theme="0"/>
      <name val="Meiryo"/>
      <family val="2"/>
      <charset val="128"/>
    </font>
    <font>
      <sz val="12"/>
      <name val="游ゴシック"/>
      <family val="3"/>
      <charset val="128"/>
    </font>
    <font>
      <b/>
      <sz val="12"/>
      <color theme="0"/>
      <name val="Meiryo"/>
      <family val="2"/>
      <charset val="128"/>
    </font>
    <font>
      <sz val="12"/>
      <color theme="1"/>
      <name val="Meiryo"/>
      <family val="2"/>
    </font>
  </fonts>
  <fills count="8">
    <fill>
      <patternFill patternType="none"/>
    </fill>
    <fill>
      <patternFill patternType="gray125"/>
    </fill>
    <fill>
      <patternFill patternType="solid">
        <fgColor theme="7" tint="0.79998168889431442"/>
        <bgColor indexed="64"/>
      </patternFill>
    </fill>
    <fill>
      <patternFill patternType="solid">
        <fgColor theme="2" tint="-9.9978637043366805E-2"/>
        <bgColor indexed="64"/>
      </patternFill>
    </fill>
    <fill>
      <patternFill patternType="solid">
        <fgColor theme="8" tint="0.79998168889431442"/>
        <bgColor indexed="64"/>
      </patternFill>
    </fill>
    <fill>
      <patternFill patternType="solid">
        <fgColor rgb="FFFEBAB3"/>
        <bgColor indexed="64"/>
      </patternFill>
    </fill>
    <fill>
      <patternFill patternType="solid">
        <fgColor theme="4" tint="-0.249977111117893"/>
        <bgColor indexed="64"/>
      </patternFill>
    </fill>
    <fill>
      <patternFill patternType="solid">
        <fgColor theme="4" tint="0.59999389629810485"/>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
      <left/>
      <right/>
      <top style="thin">
        <color indexed="64"/>
      </top>
      <bottom style="thin">
        <color indexed="64"/>
      </bottom>
      <diagonal/>
    </border>
  </borders>
  <cellStyleXfs count="2">
    <xf numFmtId="0" fontId="0" fillId="0" borderId="0">
      <alignment vertical="center"/>
    </xf>
    <xf numFmtId="0" fontId="4" fillId="0" borderId="0" applyNumberFormat="0" applyFill="0" applyBorder="0" applyAlignment="0" applyProtection="0">
      <alignment vertical="center"/>
    </xf>
  </cellStyleXfs>
  <cellXfs count="65">
    <xf numFmtId="0" fontId="0" fillId="0" borderId="0" xfId="0">
      <alignment vertical="center"/>
    </xf>
    <xf numFmtId="0" fontId="0" fillId="0" borderId="0" xfId="0" applyAlignment="1">
      <alignment horizontal="center" vertical="center"/>
    </xf>
    <xf numFmtId="0" fontId="0" fillId="0" borderId="1" xfId="0" applyBorder="1">
      <alignment vertical="center"/>
    </xf>
    <xf numFmtId="9" fontId="0" fillId="0" borderId="1" xfId="0" applyNumberFormat="1" applyBorder="1">
      <alignment vertical="center"/>
    </xf>
    <xf numFmtId="0" fontId="0" fillId="3" borderId="1" xfId="0" applyFill="1" applyBorder="1">
      <alignment vertical="center"/>
    </xf>
    <xf numFmtId="179" fontId="0" fillId="0" borderId="0" xfId="0" applyNumberFormat="1">
      <alignment vertical="center"/>
    </xf>
    <xf numFmtId="9" fontId="0" fillId="0" borderId="0" xfId="0" applyNumberFormat="1">
      <alignment vertical="center"/>
    </xf>
    <xf numFmtId="0" fontId="2" fillId="0" borderId="0" xfId="0" applyFont="1">
      <alignment vertical="center"/>
    </xf>
    <xf numFmtId="0" fontId="0" fillId="5" borderId="2" xfId="0" applyFill="1" applyBorder="1" applyProtection="1">
      <alignment vertical="center"/>
      <protection locked="0"/>
    </xf>
    <xf numFmtId="180" fontId="0" fillId="0" borderId="0" xfId="0" applyNumberFormat="1">
      <alignment vertical="center"/>
    </xf>
    <xf numFmtId="0" fontId="0" fillId="0" borderId="0" xfId="0" applyAlignment="1">
      <alignment horizontal="centerContinuous" vertical="center"/>
    </xf>
    <xf numFmtId="182" fontId="0" fillId="0" borderId="0" xfId="0" applyNumberFormat="1">
      <alignment vertical="center"/>
    </xf>
    <xf numFmtId="0" fontId="7" fillId="0" borderId="0" xfId="0" applyFont="1">
      <alignment vertical="center"/>
    </xf>
    <xf numFmtId="177" fontId="0" fillId="2" borderId="1" xfId="0" applyNumberFormat="1" applyFill="1" applyBorder="1" applyProtection="1">
      <alignment vertical="center"/>
      <protection locked="0"/>
    </xf>
    <xf numFmtId="179" fontId="0" fillId="2" borderId="1" xfId="0" applyNumberFormat="1" applyFill="1" applyBorder="1" applyProtection="1">
      <alignment vertical="center"/>
      <protection locked="0"/>
    </xf>
    <xf numFmtId="0" fontId="0" fillId="0" borderId="0" xfId="0" applyProtection="1">
      <alignment vertical="center"/>
      <protection locked="0"/>
    </xf>
    <xf numFmtId="14" fontId="0" fillId="2" borderId="1" xfId="0" applyNumberFormat="1" applyFill="1" applyBorder="1" applyProtection="1">
      <alignment vertical="center"/>
      <protection locked="0"/>
    </xf>
    <xf numFmtId="0" fontId="0" fillId="0" borderId="0" xfId="0">
      <alignment vertical="center"/>
    </xf>
    <xf numFmtId="0" fontId="10" fillId="6" borderId="0" xfId="0" applyFont="1" applyFill="1">
      <alignment vertical="center"/>
    </xf>
    <xf numFmtId="0" fontId="6" fillId="0" borderId="0" xfId="0" applyFont="1">
      <alignment vertical="center"/>
    </xf>
    <xf numFmtId="0" fontId="11" fillId="7" borderId="0" xfId="0" applyFont="1" applyFill="1">
      <alignment vertical="center"/>
    </xf>
    <xf numFmtId="0" fontId="0" fillId="5" borderId="0" xfId="0" applyFill="1">
      <alignment vertical="center"/>
    </xf>
    <xf numFmtId="0" fontId="9" fillId="5" borderId="0" xfId="0" applyFont="1" applyFill="1">
      <alignment vertical="center"/>
    </xf>
    <xf numFmtId="0" fontId="3" fillId="5" borderId="0" xfId="0" applyFont="1" applyFill="1">
      <alignment vertical="center"/>
    </xf>
    <xf numFmtId="0" fontId="4" fillId="0" borderId="0" xfId="1">
      <alignment vertical="center"/>
    </xf>
    <xf numFmtId="0" fontId="3" fillId="0" borderId="0" xfId="0" applyFont="1">
      <alignment vertical="center"/>
    </xf>
    <xf numFmtId="0" fontId="0" fillId="0" borderId="0" xfId="0" applyAlignment="1">
      <alignment vertical="center" wrapText="1"/>
    </xf>
    <xf numFmtId="0" fontId="2" fillId="0" borderId="0" xfId="0" applyFont="1" applyAlignment="1">
      <alignment vertical="center" wrapText="1"/>
    </xf>
    <xf numFmtId="0" fontId="0" fillId="2" borderId="1" xfId="0" applyFill="1" applyBorder="1" applyAlignment="1" applyProtection="1">
      <alignment horizontal="center" vertical="center"/>
      <protection locked="0"/>
    </xf>
    <xf numFmtId="0" fontId="0" fillId="2" borderId="3" xfId="0" applyFill="1" applyBorder="1" applyProtection="1">
      <alignment vertical="center"/>
      <protection locked="0"/>
    </xf>
    <xf numFmtId="179" fontId="0" fillId="4" borderId="0" xfId="0" applyNumberFormat="1" applyFill="1">
      <alignment vertical="center"/>
    </xf>
    <xf numFmtId="177" fontId="0" fillId="2" borderId="4" xfId="0" applyNumberFormat="1" applyFill="1" applyBorder="1" applyProtection="1">
      <alignment vertical="center"/>
      <protection locked="0"/>
    </xf>
    <xf numFmtId="0" fontId="8" fillId="0" borderId="0" xfId="0" applyFont="1" applyProtection="1">
      <alignment vertical="center"/>
    </xf>
    <xf numFmtId="0" fontId="0" fillId="0" borderId="0" xfId="0" applyProtection="1">
      <alignment vertical="center"/>
    </xf>
    <xf numFmtId="9" fontId="0" fillId="0" borderId="0" xfId="0" applyNumberFormat="1" applyProtection="1">
      <alignment vertical="center"/>
    </xf>
    <xf numFmtId="0" fontId="8" fillId="0" borderId="0" xfId="0" applyFont="1" applyAlignment="1" applyProtection="1">
      <alignment horizontal="right" vertical="center"/>
    </xf>
    <xf numFmtId="183" fontId="8" fillId="0" borderId="0" xfId="0" applyNumberFormat="1" applyFont="1" applyProtection="1">
      <alignment vertical="center"/>
    </xf>
    <xf numFmtId="0" fontId="8" fillId="4" borderId="0" xfId="0" applyFont="1" applyFill="1" applyProtection="1">
      <alignment vertical="center"/>
    </xf>
    <xf numFmtId="0" fontId="7" fillId="0" borderId="0" xfId="0" applyFont="1" applyProtection="1">
      <alignment vertical="center"/>
    </xf>
    <xf numFmtId="0" fontId="12" fillId="0" borderId="0" xfId="0" applyFont="1" applyProtection="1">
      <alignment vertical="center"/>
      <protection locked="0"/>
    </xf>
    <xf numFmtId="0" fontId="0" fillId="4" borderId="1" xfId="0" applyFill="1" applyBorder="1" applyProtection="1">
      <alignment vertical="center"/>
    </xf>
    <xf numFmtId="178" fontId="0" fillId="4" borderId="1" xfId="0" applyNumberFormat="1" applyFill="1" applyBorder="1" applyProtection="1">
      <alignment vertical="center"/>
    </xf>
    <xf numFmtId="0" fontId="3" fillId="0" borderId="0" xfId="0" applyFont="1" applyProtection="1">
      <alignment vertical="center"/>
    </xf>
    <xf numFmtId="177" fontId="0" fillId="4" borderId="1" xfId="0" applyNumberFormat="1" applyFill="1" applyBorder="1" applyProtection="1">
      <alignment vertical="center"/>
    </xf>
    <xf numFmtId="177" fontId="0" fillId="0" borderId="0" xfId="0" applyNumberFormat="1" applyProtection="1">
      <alignment vertical="center"/>
    </xf>
    <xf numFmtId="0" fontId="0" fillId="0" borderId="0" xfId="0" applyAlignment="1" applyProtection="1">
      <alignment horizontal="right" vertical="center"/>
    </xf>
    <xf numFmtId="0" fontId="2" fillId="0" borderId="0" xfId="0" applyFont="1" applyProtection="1">
      <alignment vertical="center"/>
    </xf>
    <xf numFmtId="176" fontId="0" fillId="4" borderId="1" xfId="0" applyNumberFormat="1" applyFill="1" applyBorder="1" applyProtection="1">
      <alignment vertical="center"/>
    </xf>
    <xf numFmtId="176" fontId="0" fillId="0" borderId="0" xfId="0" applyNumberFormat="1" applyProtection="1">
      <alignment vertical="center"/>
    </xf>
    <xf numFmtId="179" fontId="0" fillId="4" borderId="1" xfId="0" applyNumberFormat="1" applyFill="1" applyBorder="1" applyProtection="1">
      <alignment vertical="center"/>
    </xf>
    <xf numFmtId="181" fontId="0" fillId="4" borderId="1" xfId="0" applyNumberFormat="1" applyFill="1" applyBorder="1" applyProtection="1">
      <alignment vertical="center"/>
    </xf>
    <xf numFmtId="179" fontId="0" fillId="0" borderId="0" xfId="0" applyNumberFormat="1" applyProtection="1">
      <alignment vertical="center"/>
    </xf>
    <xf numFmtId="0" fontId="14" fillId="6" borderId="0" xfId="0" applyFont="1" applyFill="1" applyProtection="1">
      <alignment vertical="center"/>
    </xf>
    <xf numFmtId="0" fontId="12" fillId="6" borderId="0" xfId="0" applyFont="1" applyFill="1" applyProtection="1">
      <alignment vertical="center"/>
    </xf>
    <xf numFmtId="0" fontId="0" fillId="0" borderId="0" xfId="0" applyFill="1" applyProtection="1">
      <alignment vertical="center"/>
    </xf>
    <xf numFmtId="176" fontId="0" fillId="0" borderId="0" xfId="0" applyNumberFormat="1" applyFill="1" applyBorder="1" applyProtection="1">
      <alignment vertical="center"/>
    </xf>
    <xf numFmtId="0" fontId="0" fillId="0" borderId="5" xfId="0" applyFill="1" applyBorder="1" applyProtection="1">
      <alignment vertical="center"/>
      <protection locked="0"/>
    </xf>
    <xf numFmtId="0" fontId="0" fillId="0" borderId="6" xfId="0" applyFill="1" applyBorder="1" applyProtection="1">
      <alignment vertical="center"/>
    </xf>
    <xf numFmtId="0" fontId="0" fillId="0" borderId="0" xfId="0" applyBorder="1" applyProtection="1">
      <alignment vertical="center"/>
    </xf>
    <xf numFmtId="176" fontId="2" fillId="0" borderId="0" xfId="0" applyNumberFormat="1" applyFont="1" applyProtection="1">
      <alignment vertical="center"/>
    </xf>
    <xf numFmtId="0" fontId="0" fillId="0" borderId="0" xfId="0" applyAlignment="1">
      <alignment vertical="center"/>
    </xf>
    <xf numFmtId="0" fontId="0" fillId="0" borderId="1" xfId="0" applyBorder="1" applyProtection="1">
      <alignment vertical="center"/>
    </xf>
    <xf numFmtId="14" fontId="0" fillId="0" borderId="1" xfId="0" applyNumberFormat="1" applyBorder="1" applyProtection="1">
      <alignment vertical="center"/>
    </xf>
    <xf numFmtId="177" fontId="0" fillId="0" borderId="1" xfId="0" applyNumberFormat="1" applyBorder="1" applyProtection="1">
      <alignment vertical="center"/>
    </xf>
    <xf numFmtId="184" fontId="0" fillId="0" borderId="1" xfId="0" applyNumberFormat="1" applyBorder="1" applyProtection="1">
      <alignment vertical="center"/>
    </xf>
  </cellXfs>
  <cellStyles count="2">
    <cellStyle name="ハイパーリンク" xfId="1" builtinId="8"/>
    <cellStyle name="標準" xfId="0" builtinId="0"/>
  </cellStyles>
  <dxfs count="13">
    <dxf>
      <font>
        <color theme="0"/>
      </font>
    </dxf>
    <dxf>
      <font>
        <b/>
        <i val="0"/>
        <color rgb="FF9C0006"/>
      </font>
      <fill>
        <patternFill patternType="none">
          <bgColor auto="1"/>
        </patternFill>
      </fill>
    </dxf>
    <dxf>
      <font>
        <b/>
        <i val="0"/>
        <color rgb="FFC00000"/>
      </font>
    </dxf>
    <dxf>
      <font>
        <b/>
        <i val="0"/>
        <color rgb="FF9C0006"/>
      </font>
      <fill>
        <patternFill patternType="none">
          <bgColor auto="1"/>
        </patternFill>
      </fill>
    </dxf>
    <dxf>
      <font>
        <b/>
        <i val="0"/>
        <color rgb="FF9C0006"/>
      </font>
      <fill>
        <patternFill patternType="none">
          <bgColor auto="1"/>
        </patternFill>
      </fill>
    </dxf>
    <dxf>
      <font>
        <color rgb="FF9C0006"/>
      </font>
      <fill>
        <patternFill>
          <bgColor rgb="FFFFC7CE"/>
        </patternFill>
      </fill>
    </dxf>
    <dxf>
      <font>
        <color rgb="FF9C0006"/>
      </font>
      <fill>
        <patternFill>
          <bgColor rgb="FFFFC7CE"/>
        </patternFill>
      </fill>
    </dxf>
    <dxf>
      <font>
        <color auto="1"/>
      </font>
      <fill>
        <patternFill>
          <bgColor theme="7" tint="0.79998168889431442"/>
        </patternFill>
      </fill>
      <border>
        <left style="thin">
          <color auto="1"/>
        </left>
        <right style="thin">
          <color auto="1"/>
        </right>
        <top style="thin">
          <color auto="1"/>
        </top>
        <bottom style="thin">
          <color auto="1"/>
        </bottom>
      </border>
    </dxf>
    <dxf>
      <font>
        <color auto="1"/>
      </font>
      <fill>
        <patternFill>
          <bgColor theme="7" tint="0.79998168889431442"/>
        </patternFill>
      </fill>
      <border>
        <left style="thin">
          <color auto="1"/>
        </left>
        <right style="thin">
          <color auto="1"/>
        </right>
        <top style="thin">
          <color auto="1"/>
        </top>
        <bottom style="thin">
          <color auto="1"/>
        </bottom>
      </border>
    </dxf>
    <dxf>
      <font>
        <color rgb="FF9C0006"/>
      </font>
      <fill>
        <patternFill>
          <bgColor rgb="FFFFC7CE"/>
        </patternFill>
      </fill>
    </dxf>
    <dxf>
      <font>
        <color rgb="FF9C0006"/>
      </font>
      <fill>
        <patternFill>
          <bgColor rgb="FFFFC7CE"/>
        </patternFill>
      </fill>
    </dxf>
    <dxf>
      <font>
        <color auto="1"/>
      </font>
      <fill>
        <patternFill>
          <bgColor theme="7" tint="0.79998168889431442"/>
        </patternFill>
      </fill>
      <border>
        <left style="thin">
          <color auto="1"/>
        </left>
        <right style="thin">
          <color auto="1"/>
        </right>
        <top style="thin">
          <color auto="1"/>
        </top>
        <bottom style="thin">
          <color auto="1"/>
        </bottom>
      </border>
    </dxf>
    <dxf>
      <font>
        <color auto="1"/>
      </font>
      <fill>
        <patternFill>
          <bgColor theme="7" tint="0.79998168889431442"/>
        </patternFill>
      </fill>
      <border>
        <left style="thin">
          <color auto="1"/>
        </left>
        <right style="thin">
          <color auto="1"/>
        </right>
        <top style="thin">
          <color auto="1"/>
        </top>
        <bottom style="thin">
          <color auto="1"/>
        </bottom>
      </border>
    </dxf>
  </dxfs>
  <tableStyles count="0" defaultTableStyle="TableStyleMedium2" defaultPivotStyle="PivotStyleLight16"/>
  <colors>
    <mruColors>
      <color rgb="FFFA8B88"/>
      <color rgb="FF73B2FA"/>
      <color rgb="FFF9DCD5"/>
      <color rgb="FFFEBAB3"/>
      <color rgb="FFFC747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eiryo" panose="020B0604030504040204" pitchFamily="34" charset="-128"/>
                <a:ea typeface="Meiryo" panose="020B0604030504040204" pitchFamily="34" charset="-128"/>
                <a:cs typeface="+mn-cs"/>
              </a:defRPr>
            </a:pPr>
            <a:r>
              <a:rPr lang="ja-JP"/>
              <a:t>イベント進捗</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eiryo" panose="020B0604030504040204" pitchFamily="34" charset="-128"/>
              <a:ea typeface="Meiryo" panose="020B0604030504040204" pitchFamily="34" charset="-128"/>
              <a:cs typeface="+mn-cs"/>
            </a:defRPr>
          </a:pPr>
          <a:endParaRPr lang="ja-JP"/>
        </a:p>
      </c:txPr>
    </c:title>
    <c:autoTitleDeleted val="0"/>
    <c:plotArea>
      <c:layout>
        <c:manualLayout>
          <c:layoutTarget val="inner"/>
          <c:xMode val="edge"/>
          <c:yMode val="edge"/>
          <c:x val="6.4588329254681914E-2"/>
          <c:y val="0.10908301349266016"/>
          <c:w val="0.92181511933895133"/>
          <c:h val="0.75546098313203192"/>
        </c:manualLayout>
      </c:layout>
      <c:lineChart>
        <c:grouping val="standard"/>
        <c:varyColors val="0"/>
        <c:ser>
          <c:idx val="0"/>
          <c:order val="0"/>
          <c:tx>
            <c:strRef>
              <c:f>イベント進捗!$B$5</c:f>
              <c:strCache>
                <c:ptCount val="1"/>
                <c:pt idx="0">
                  <c:v>日別目標</c:v>
                </c:pt>
              </c:strCache>
            </c:strRef>
          </c:tx>
          <c:spPr>
            <a:ln w="38100" cap="rnd">
              <a:solidFill>
                <a:srgbClr val="73B2FA"/>
              </a:solidFill>
              <a:round/>
            </a:ln>
            <a:effectLst/>
          </c:spPr>
          <c:marker>
            <c:symbol val="circle"/>
            <c:size val="8"/>
            <c:spPr>
              <a:solidFill>
                <a:srgbClr val="73B2FA"/>
              </a:solidFill>
              <a:ln w="38100">
                <a:solidFill>
                  <a:srgbClr val="73B2FA"/>
                </a:solidFill>
              </a:ln>
              <a:effectLst/>
            </c:spPr>
          </c:marker>
          <c:dLbls>
            <c:spPr>
              <a:solidFill>
                <a:schemeClr val="bg1">
                  <a:alpha val="70000"/>
                </a:schemeClr>
              </a:solidFill>
              <a:ln>
                <a:noFill/>
              </a:ln>
              <a:effectLst/>
            </c:spPr>
            <c:txPr>
              <a:bodyPr rot="0" spcFirstLastPara="1" vertOverflow="ellipsis" vert="horz" wrap="square" anchor="ctr" anchorCtr="1"/>
              <a:lstStyle/>
              <a:p>
                <a:pPr>
                  <a:defRPr sz="900" b="0" i="0" u="none" strike="noStrike" kern="1200" baseline="0">
                    <a:solidFill>
                      <a:schemeClr val="tx1">
                        <a:lumMod val="75000"/>
                        <a:lumOff val="25000"/>
                      </a:schemeClr>
                    </a:solidFill>
                    <a:latin typeface="Meiryo" panose="020B0604030504040204" pitchFamily="34" charset="-128"/>
                    <a:ea typeface="Meiryo" panose="020B0604030504040204" pitchFamily="34" charset="-128"/>
                    <a:cs typeface="+mn-cs"/>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イベント進捗!$C$4:$K$4</c:f>
              <c:numCache>
                <c:formatCode>m/d/yy</c:formatCode>
                <c:ptCount val="9"/>
                <c:pt idx="0">
                  <c:v>45707</c:v>
                </c:pt>
                <c:pt idx="1">
                  <c:v>45708</c:v>
                </c:pt>
                <c:pt idx="2">
                  <c:v>45709</c:v>
                </c:pt>
                <c:pt idx="3">
                  <c:v>45710</c:v>
                </c:pt>
                <c:pt idx="4">
                  <c:v>45711</c:v>
                </c:pt>
                <c:pt idx="5">
                  <c:v>45712</c:v>
                </c:pt>
                <c:pt idx="6">
                  <c:v>45713</c:v>
                </c:pt>
                <c:pt idx="7">
                  <c:v>45714</c:v>
                </c:pt>
                <c:pt idx="8">
                  <c:v>45715</c:v>
                </c:pt>
              </c:numCache>
            </c:numRef>
          </c:cat>
          <c:val>
            <c:numRef>
              <c:f>イベント進捗!$C$5:$K$5</c:f>
              <c:numCache>
                <c:formatCode>#,##0_);[Red]\(#,##0\)</c:formatCode>
                <c:ptCount val="9"/>
                <c:pt idx="0">
                  <c:v>0</c:v>
                </c:pt>
                <c:pt idx="1">
                  <c:v>0</c:v>
                </c:pt>
                <c:pt idx="2">
                  <c:v>0</c:v>
                </c:pt>
                <c:pt idx="3">
                  <c:v>0</c:v>
                </c:pt>
                <c:pt idx="4">
                  <c:v>0</c:v>
                </c:pt>
                <c:pt idx="5">
                  <c:v>0</c:v>
                </c:pt>
                <c:pt idx="6">
                  <c:v>0</c:v>
                </c:pt>
                <c:pt idx="7">
                  <c:v>0</c:v>
                </c:pt>
                <c:pt idx="8">
                  <c:v>0</c:v>
                </c:pt>
              </c:numCache>
            </c:numRef>
          </c:val>
          <c:smooth val="0"/>
          <c:extLst>
            <c:ext xmlns:c16="http://schemas.microsoft.com/office/drawing/2014/chart" uri="{C3380CC4-5D6E-409C-BE32-E72D297353CC}">
              <c16:uniqueId val="{00000000-A23B-EF44-8D05-D3024D9A2065}"/>
            </c:ext>
          </c:extLst>
        </c:ser>
        <c:ser>
          <c:idx val="1"/>
          <c:order val="1"/>
          <c:tx>
            <c:strRef>
              <c:f>イベント進捗!$B$8</c:f>
              <c:strCache>
                <c:ptCount val="1"/>
                <c:pt idx="0">
                  <c:v>パス込ポイント数</c:v>
                </c:pt>
              </c:strCache>
            </c:strRef>
          </c:tx>
          <c:spPr>
            <a:ln w="28575" cap="rnd">
              <a:solidFill>
                <a:srgbClr val="FA8B88"/>
              </a:solidFill>
              <a:round/>
            </a:ln>
            <a:effectLst/>
          </c:spPr>
          <c:marker>
            <c:symbol val="circle"/>
            <c:size val="8"/>
            <c:spPr>
              <a:solidFill>
                <a:srgbClr val="FA8B88"/>
              </a:solidFill>
              <a:ln w="38100">
                <a:solidFill>
                  <a:srgbClr val="FA8B88"/>
                </a:solidFill>
              </a:ln>
              <a:effectLst/>
            </c:spPr>
          </c:marker>
          <c:dLbls>
            <c:spPr>
              <a:solidFill>
                <a:schemeClr val="bg1">
                  <a:alpha val="70000"/>
                </a:schemeClr>
              </a:solidFill>
              <a:ln>
                <a:noFill/>
              </a:ln>
              <a:effectLst/>
            </c:spPr>
            <c:txPr>
              <a:bodyPr rot="0" spcFirstLastPara="1" vertOverflow="ellipsis" vert="horz" wrap="square" anchor="ctr" anchorCtr="1"/>
              <a:lstStyle/>
              <a:p>
                <a:pPr>
                  <a:defRPr sz="900" b="0" i="0" u="none" strike="noStrike" kern="1200" baseline="0">
                    <a:solidFill>
                      <a:schemeClr val="tx1">
                        <a:lumMod val="75000"/>
                        <a:lumOff val="25000"/>
                      </a:schemeClr>
                    </a:solidFill>
                    <a:latin typeface="Meiryo" panose="020B0604030504040204" pitchFamily="34" charset="-128"/>
                    <a:ea typeface="Meiryo" panose="020B0604030504040204" pitchFamily="34" charset="-128"/>
                    <a:cs typeface="+mn-cs"/>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イベント進捗!$C$4:$K$4</c:f>
              <c:numCache>
                <c:formatCode>m/d/yy</c:formatCode>
                <c:ptCount val="9"/>
                <c:pt idx="0">
                  <c:v>45707</c:v>
                </c:pt>
                <c:pt idx="1">
                  <c:v>45708</c:v>
                </c:pt>
                <c:pt idx="2">
                  <c:v>45709</c:v>
                </c:pt>
                <c:pt idx="3">
                  <c:v>45710</c:v>
                </c:pt>
                <c:pt idx="4">
                  <c:v>45711</c:v>
                </c:pt>
                <c:pt idx="5">
                  <c:v>45712</c:v>
                </c:pt>
                <c:pt idx="6">
                  <c:v>45713</c:v>
                </c:pt>
                <c:pt idx="7">
                  <c:v>45714</c:v>
                </c:pt>
                <c:pt idx="8">
                  <c:v>45715</c:v>
                </c:pt>
              </c:numCache>
            </c:numRef>
          </c:cat>
          <c:val>
            <c:numRef>
              <c:f>イベント進捗!$C$8:$K$8</c:f>
              <c:numCache>
                <c:formatCode>#,##0_);[Red]\(#,##0\)</c:formatCode>
                <c:ptCount val="9"/>
                <c:pt idx="0">
                  <c:v>#N/A</c:v>
                </c:pt>
                <c:pt idx="1">
                  <c:v>#N/A</c:v>
                </c:pt>
                <c:pt idx="2">
                  <c:v>#N/A</c:v>
                </c:pt>
                <c:pt idx="3">
                  <c:v>#N/A</c:v>
                </c:pt>
                <c:pt idx="4">
                  <c:v>#N/A</c:v>
                </c:pt>
                <c:pt idx="5">
                  <c:v>#N/A</c:v>
                </c:pt>
                <c:pt idx="6">
                  <c:v>#N/A</c:v>
                </c:pt>
                <c:pt idx="7">
                  <c:v>#N/A</c:v>
                </c:pt>
                <c:pt idx="8">
                  <c:v>#N/A</c:v>
                </c:pt>
              </c:numCache>
            </c:numRef>
          </c:val>
          <c:smooth val="0"/>
          <c:extLst>
            <c:ext xmlns:c16="http://schemas.microsoft.com/office/drawing/2014/chart" uri="{C3380CC4-5D6E-409C-BE32-E72D297353CC}">
              <c16:uniqueId val="{00000001-A23B-EF44-8D05-D3024D9A2065}"/>
            </c:ext>
          </c:extLst>
        </c:ser>
        <c:dLbls>
          <c:dLblPos val="t"/>
          <c:showLegendKey val="0"/>
          <c:showVal val="1"/>
          <c:showCatName val="0"/>
          <c:showSerName val="0"/>
          <c:showPercent val="0"/>
          <c:showBubbleSize val="0"/>
        </c:dLbls>
        <c:marker val="1"/>
        <c:smooth val="0"/>
        <c:axId val="987060815"/>
        <c:axId val="953563519"/>
      </c:lineChart>
      <c:dateAx>
        <c:axId val="987060815"/>
        <c:scaling>
          <c:orientation val="minMax"/>
        </c:scaling>
        <c:delete val="0"/>
        <c:axPos val="b"/>
        <c:numFmt formatCode="m/d/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eiryo" panose="020B0604030504040204" pitchFamily="34" charset="-128"/>
                <a:ea typeface="Meiryo" panose="020B0604030504040204" pitchFamily="34" charset="-128"/>
                <a:cs typeface="+mn-cs"/>
              </a:defRPr>
            </a:pPr>
            <a:endParaRPr lang="ja-JP"/>
          </a:p>
        </c:txPr>
        <c:crossAx val="953563519"/>
        <c:crosses val="autoZero"/>
        <c:auto val="1"/>
        <c:lblOffset val="100"/>
        <c:baseTimeUnit val="days"/>
      </c:dateAx>
      <c:valAx>
        <c:axId val="953563519"/>
        <c:scaling>
          <c:orientation val="minMax"/>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eiryo" panose="020B0604030504040204" pitchFamily="34" charset="-128"/>
                <a:ea typeface="Meiryo" panose="020B0604030504040204" pitchFamily="34" charset="-128"/>
                <a:cs typeface="+mn-cs"/>
              </a:defRPr>
            </a:pPr>
            <a:endParaRPr lang="ja-JP"/>
          </a:p>
        </c:txPr>
        <c:crossAx val="987060815"/>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eiryo" panose="020B0604030504040204" pitchFamily="34" charset="-128"/>
              <a:ea typeface="Meiryo" panose="020B0604030504040204" pitchFamily="34" charset="-128"/>
              <a:cs typeface="+mn-cs"/>
            </a:defRPr>
          </a:pPr>
          <a:endParaRPr lang="ja-JP"/>
        </a:p>
      </c:txPr>
    </c:legend>
    <c:plotVisOnly val="1"/>
    <c:dispBlanksAs val="span"/>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latin typeface="Meiryo" panose="020B0604030504040204" pitchFamily="34" charset="-128"/>
          <a:ea typeface="Meiryo" panose="020B0604030504040204" pitchFamily="34" charset="-128"/>
        </a:defRPr>
      </a:pPr>
      <a:endParaRPr lang="ja-JP"/>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trlProps/ctrlProp1.xml><?xml version="1.0" encoding="utf-8"?>
<formControlPr xmlns="http://schemas.microsoft.com/office/spreadsheetml/2009/9/main" objectType="CheckBox" checked="Checked" fmlaLink="$D$43" lockText="1" noThreeD="1"/>
</file>

<file path=xl/drawings/_rels/drawing4.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xdr:col>
          <xdr:colOff>444500</xdr:colOff>
          <xdr:row>41</xdr:row>
          <xdr:rowOff>177800</xdr:rowOff>
        </xdr:from>
        <xdr:to>
          <xdr:col>3</xdr:col>
          <xdr:colOff>1143000</xdr:colOff>
          <xdr:row>43</xdr:row>
          <xdr:rowOff>50800</xdr:rowOff>
        </xdr:to>
        <xdr:sp macro="" textlink="">
          <xdr:nvSpPr>
            <xdr:cNvPr id="8193" name="Check Box 1" hidden="1">
              <a:extLst>
                <a:ext uri="{63B3BB69-23CF-44E3-9099-C40C66FF867C}">
                  <a14:compatExt spid="_x0000_s8193"/>
                </a:ext>
                <a:ext uri="{FF2B5EF4-FFF2-40B4-BE49-F238E27FC236}">
                  <a16:creationId xmlns:a16="http://schemas.microsoft.com/office/drawing/2014/main" id="{7B3E5DD8-C0CD-7C82-404A-D9CE1ED8AF1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5</xdr:col>
      <xdr:colOff>127000</xdr:colOff>
      <xdr:row>7</xdr:row>
      <xdr:rowOff>76200</xdr:rowOff>
    </xdr:from>
    <xdr:to>
      <xdr:col>6</xdr:col>
      <xdr:colOff>1803400</xdr:colOff>
      <xdr:row>10</xdr:row>
      <xdr:rowOff>203200</xdr:rowOff>
    </xdr:to>
    <xdr:sp macro="" textlink="">
      <xdr:nvSpPr>
        <xdr:cNvPr id="5" name="テキスト ボックス 4">
          <a:extLst>
            <a:ext uri="{FF2B5EF4-FFF2-40B4-BE49-F238E27FC236}">
              <a16:creationId xmlns:a16="http://schemas.microsoft.com/office/drawing/2014/main" id="{A4CBA774-BEF4-EF46-B30F-DE511A3B21EF}"/>
            </a:ext>
          </a:extLst>
        </xdr:cNvPr>
        <xdr:cNvSpPr txBox="1"/>
      </xdr:nvSpPr>
      <xdr:spPr>
        <a:xfrm>
          <a:off x="6781800" y="1879600"/>
          <a:ext cx="3048000" cy="889000"/>
        </a:xfrm>
        <a:prstGeom prst="rect">
          <a:avLst/>
        </a:prstGeom>
        <a:solidFill>
          <a:srgbClr val="F9DCD5"/>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200"/>
            <a:t>【</a:t>
          </a:r>
          <a:r>
            <a:rPr kumimoji="1" lang="ja-JP" altLang="en-US" sz="1200"/>
            <a:t>特効計算</a:t>
          </a:r>
          <a:r>
            <a:rPr kumimoji="1" lang="en-US" altLang="ja-JP" sz="1200"/>
            <a:t>】</a:t>
          </a:r>
          <a:r>
            <a:rPr kumimoji="1" lang="ja-JP" altLang="en-US" sz="1200"/>
            <a:t>シートを使用した場合</a:t>
          </a:r>
          <a:endParaRPr kumimoji="1" lang="en-US" altLang="ja-JP" sz="1200"/>
        </a:p>
        <a:p>
          <a:r>
            <a:rPr kumimoji="1" lang="ja-JP" altLang="en-US" sz="1200"/>
            <a:t>赤セルの入力は不要です。</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5</xdr:col>
      <xdr:colOff>152400</xdr:colOff>
      <xdr:row>11</xdr:row>
      <xdr:rowOff>50800</xdr:rowOff>
    </xdr:from>
    <xdr:to>
      <xdr:col>6</xdr:col>
      <xdr:colOff>1828800</xdr:colOff>
      <xdr:row>14</xdr:row>
      <xdr:rowOff>177800</xdr:rowOff>
    </xdr:to>
    <xdr:sp macro="" textlink="">
      <xdr:nvSpPr>
        <xdr:cNvPr id="4" name="テキスト ボックス 3">
          <a:extLst>
            <a:ext uri="{FF2B5EF4-FFF2-40B4-BE49-F238E27FC236}">
              <a16:creationId xmlns:a16="http://schemas.microsoft.com/office/drawing/2014/main" id="{FA07FE18-10B4-E442-A957-F8EB26329F87}"/>
            </a:ext>
          </a:extLst>
        </xdr:cNvPr>
        <xdr:cNvSpPr txBox="1"/>
      </xdr:nvSpPr>
      <xdr:spPr>
        <a:xfrm>
          <a:off x="7708900" y="2870200"/>
          <a:ext cx="3048000" cy="889000"/>
        </a:xfrm>
        <a:prstGeom prst="rect">
          <a:avLst/>
        </a:prstGeom>
        <a:solidFill>
          <a:srgbClr val="F9DCD5"/>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200"/>
            <a:t>【</a:t>
          </a:r>
          <a:r>
            <a:rPr kumimoji="1" lang="ja-JP" altLang="en-US" sz="1200"/>
            <a:t>特効計算</a:t>
          </a:r>
          <a:r>
            <a:rPr kumimoji="1" lang="en-US" altLang="ja-JP" sz="1200"/>
            <a:t>】</a:t>
          </a:r>
          <a:r>
            <a:rPr kumimoji="1" lang="ja-JP" altLang="en-US" sz="1200"/>
            <a:t>シートを使用した場合</a:t>
          </a:r>
          <a:endParaRPr kumimoji="1" lang="en-US" altLang="ja-JP" sz="1200"/>
        </a:p>
        <a:p>
          <a:r>
            <a:rPr kumimoji="1" lang="ja-JP" altLang="en-US" sz="1200"/>
            <a:t>赤セルの入力は不要です。</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63500</xdr:colOff>
      <xdr:row>11</xdr:row>
      <xdr:rowOff>101600</xdr:rowOff>
    </xdr:from>
    <xdr:to>
      <xdr:col>10</xdr:col>
      <xdr:colOff>901700</xdr:colOff>
      <xdr:row>34</xdr:row>
      <xdr:rowOff>63500</xdr:rowOff>
    </xdr:to>
    <xdr:graphicFrame macro="">
      <xdr:nvGraphicFramePr>
        <xdr:cNvPr id="2" name="グラフ 1">
          <a:extLst>
            <a:ext uri="{FF2B5EF4-FFF2-40B4-BE49-F238E27FC236}">
              <a16:creationId xmlns:a16="http://schemas.microsoft.com/office/drawing/2014/main" id="{9D578308-6CDC-F045-B291-27D5D63B2BE8}"/>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ota-life.com/contact/" TargetMode="External"/><Relationship Id="rId2" Type="http://schemas.openxmlformats.org/officeDocument/2006/relationships/hyperlink" Target="https://x.com/lop_0125" TargetMode="External"/><Relationship Id="rId1" Type="http://schemas.openxmlformats.org/officeDocument/2006/relationships/hyperlink" Target="https://ota-life.com/music-newsong/" TargetMode="External"/><Relationship Id="rId4" Type="http://schemas.openxmlformats.org/officeDocument/2006/relationships/hyperlink" Target="https://ota-life.com/music-newsong-excel/" TargetMode="External"/></Relationships>
</file>

<file path=xl/worksheets/_rels/sheet2.xml.rels><?xml version="1.0" encoding="UTF-8" standalone="yes"?>
<Relationships xmlns="http://schemas.openxmlformats.org/package/2006/relationships"><Relationship Id="rId3" Type="http://schemas.openxmlformats.org/officeDocument/2006/relationships/ctrlProp" Target="../ctrlProps/ctrlProp1.xml"/><Relationship Id="rId2" Type="http://schemas.openxmlformats.org/officeDocument/2006/relationships/vmlDrawing" Target="../drawings/vmlDrawing1.vml"/><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2.vml"/><Relationship Id="rId1"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3.vml"/><Relationship Id="rId1" Type="http://schemas.openxmlformats.org/officeDocument/2006/relationships/drawing" Target="../drawings/drawing3.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4.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2953E7A-9718-1E45-8485-1009EF620F4C}">
  <sheetPr>
    <tabColor rgb="FFC00000"/>
  </sheetPr>
  <dimension ref="A1:K83"/>
  <sheetViews>
    <sheetView tabSelected="1" zoomScaleNormal="100" workbookViewId="0">
      <selection sqref="A1:K1"/>
    </sheetView>
  </sheetViews>
  <sheetFormatPr baseColWidth="10" defaultRowHeight="21" customHeight="1"/>
  <cols>
    <col min="1" max="1" width="4.5703125" customWidth="1"/>
    <col min="2" max="2" width="15.5703125" customWidth="1"/>
  </cols>
  <sheetData>
    <row r="1" spans="1:11" ht="29" customHeight="1">
      <c r="A1" s="18" t="s">
        <v>71</v>
      </c>
      <c r="B1" s="18"/>
      <c r="C1" s="18"/>
      <c r="D1" s="18"/>
      <c r="E1" s="18"/>
      <c r="F1" s="18"/>
      <c r="G1" s="18"/>
      <c r="H1" s="18"/>
      <c r="I1" s="18"/>
      <c r="J1" s="18"/>
      <c r="K1" s="18"/>
    </row>
    <row r="2" spans="1:11" ht="21" customHeight="1">
      <c r="B2" s="17"/>
      <c r="C2" s="17"/>
      <c r="D2" s="17"/>
      <c r="E2" s="17"/>
      <c r="F2" s="17"/>
      <c r="G2" s="17"/>
      <c r="H2" s="17"/>
      <c r="I2" s="17"/>
      <c r="J2" s="17"/>
      <c r="K2" s="17"/>
    </row>
    <row r="3" spans="1:11" ht="21" customHeight="1">
      <c r="B3" s="21" t="s">
        <v>140</v>
      </c>
      <c r="C3" s="21"/>
      <c r="D3" s="21"/>
      <c r="E3" s="21"/>
      <c r="F3" s="21"/>
      <c r="G3" s="21"/>
      <c r="H3" s="21"/>
      <c r="I3" s="21"/>
      <c r="J3" s="21"/>
      <c r="K3" s="21"/>
    </row>
    <row r="4" spans="1:11" ht="21" customHeight="1">
      <c r="B4" s="21" t="s">
        <v>141</v>
      </c>
      <c r="C4" s="21"/>
      <c r="D4" s="21"/>
      <c r="E4" s="21"/>
      <c r="F4" s="21"/>
      <c r="G4" s="21"/>
      <c r="H4" s="21"/>
      <c r="I4" s="21"/>
      <c r="J4" s="21"/>
      <c r="K4" s="21"/>
    </row>
    <row r="5" spans="1:11" ht="33" customHeight="1">
      <c r="B5" s="22" t="s">
        <v>142</v>
      </c>
      <c r="C5" s="22"/>
      <c r="D5" s="22"/>
      <c r="E5" s="22"/>
      <c r="F5" s="22"/>
      <c r="G5" s="22"/>
      <c r="H5" s="22"/>
      <c r="I5" s="22"/>
      <c r="J5" s="22"/>
      <c r="K5" s="22"/>
    </row>
    <row r="6" spans="1:11" ht="21" customHeight="1">
      <c r="B6" s="23" t="s">
        <v>143</v>
      </c>
      <c r="C6" s="23"/>
      <c r="D6" s="23"/>
      <c r="E6" s="23"/>
      <c r="F6" s="23"/>
      <c r="G6" s="23"/>
      <c r="H6" s="23"/>
      <c r="I6" s="23"/>
      <c r="J6" s="23"/>
      <c r="K6" s="23"/>
    </row>
    <row r="7" spans="1:11" ht="21" customHeight="1">
      <c r="B7" s="17"/>
      <c r="C7" s="17"/>
      <c r="D7" s="17"/>
      <c r="E7" s="17"/>
      <c r="F7" s="17"/>
      <c r="G7" s="17"/>
      <c r="H7" s="17"/>
      <c r="I7" s="17"/>
      <c r="J7" s="17"/>
      <c r="K7" s="17"/>
    </row>
    <row r="8" spans="1:11" ht="21" customHeight="1">
      <c r="B8" s="17" t="s">
        <v>67</v>
      </c>
      <c r="C8" s="17"/>
      <c r="D8" s="17"/>
      <c r="E8" s="17"/>
      <c r="F8" s="17"/>
      <c r="G8" s="17"/>
      <c r="H8" s="17"/>
      <c r="I8" s="17"/>
      <c r="J8" s="17"/>
      <c r="K8" s="17"/>
    </row>
    <row r="9" spans="1:11" ht="21" customHeight="1">
      <c r="B9" s="17" t="s">
        <v>68</v>
      </c>
      <c r="C9" s="17"/>
      <c r="D9" s="17"/>
      <c r="E9" s="17"/>
      <c r="F9" s="17"/>
      <c r="G9" s="17"/>
      <c r="H9" s="17"/>
      <c r="I9" s="17"/>
      <c r="J9" s="17"/>
      <c r="K9" s="17"/>
    </row>
    <row r="10" spans="1:11" ht="21" customHeight="1">
      <c r="B10" s="17"/>
      <c r="C10" s="17"/>
      <c r="D10" s="17"/>
      <c r="E10" s="17"/>
      <c r="F10" s="17"/>
      <c r="G10" s="17"/>
      <c r="H10" s="17"/>
      <c r="I10" s="17"/>
      <c r="J10" s="17"/>
      <c r="K10" s="17"/>
    </row>
    <row r="11" spans="1:11" ht="21" customHeight="1">
      <c r="B11" s="19" t="s">
        <v>80</v>
      </c>
      <c r="C11" s="19"/>
      <c r="D11" s="19"/>
      <c r="E11" s="19"/>
      <c r="F11" s="19"/>
      <c r="G11" s="19"/>
      <c r="H11" s="19"/>
      <c r="I11" s="19"/>
      <c r="J11" s="19"/>
      <c r="K11" s="19"/>
    </row>
    <row r="12" spans="1:11" ht="21" customHeight="1">
      <c r="B12" s="19" t="s">
        <v>69</v>
      </c>
      <c r="C12" s="19"/>
      <c r="D12" s="19"/>
      <c r="E12" s="19"/>
      <c r="F12" s="19"/>
      <c r="G12" s="19"/>
      <c r="H12" s="19"/>
      <c r="I12" s="19"/>
      <c r="J12" s="19"/>
      <c r="K12" s="19"/>
    </row>
    <row r="13" spans="1:11" ht="21" customHeight="1">
      <c r="B13" s="19" t="s">
        <v>70</v>
      </c>
      <c r="C13" s="19"/>
      <c r="D13" s="19"/>
      <c r="E13" s="19"/>
      <c r="F13" s="19"/>
      <c r="G13" s="19"/>
      <c r="H13" s="19"/>
      <c r="I13" s="19"/>
      <c r="J13" s="19"/>
      <c r="K13" s="19"/>
    </row>
    <row r="14" spans="1:11" ht="21" customHeight="1">
      <c r="B14" s="17"/>
      <c r="C14" s="17"/>
      <c r="D14" s="17"/>
      <c r="E14" s="17"/>
      <c r="F14" s="17"/>
      <c r="G14" s="17"/>
      <c r="H14" s="17"/>
      <c r="I14" s="17"/>
      <c r="J14" s="17"/>
      <c r="K14" s="17"/>
    </row>
    <row r="15" spans="1:11" ht="21" customHeight="1">
      <c r="B15" s="19" t="s">
        <v>63</v>
      </c>
      <c r="C15" s="19"/>
      <c r="D15" s="19"/>
      <c r="E15" s="19"/>
      <c r="F15" s="19"/>
      <c r="G15" s="19"/>
      <c r="H15" s="19"/>
      <c r="I15" s="19"/>
      <c r="J15" s="19"/>
      <c r="K15" s="19"/>
    </row>
    <row r="16" spans="1:11" ht="21" customHeight="1">
      <c r="B16" s="19" t="s">
        <v>64</v>
      </c>
      <c r="C16" s="19"/>
      <c r="D16" s="19"/>
      <c r="E16" s="19"/>
      <c r="F16" s="19"/>
      <c r="G16" s="19"/>
      <c r="H16" s="19"/>
      <c r="I16" s="19"/>
      <c r="J16" s="19"/>
      <c r="K16" s="19"/>
    </row>
    <row r="17" spans="1:11" ht="21" customHeight="1">
      <c r="B17" s="24" t="s">
        <v>75</v>
      </c>
      <c r="C17" s="24"/>
      <c r="D17" s="24"/>
      <c r="E17" s="24"/>
      <c r="F17" s="24"/>
      <c r="G17" s="24"/>
      <c r="H17" s="24"/>
      <c r="I17" s="24"/>
      <c r="J17" s="24"/>
      <c r="K17" s="24"/>
    </row>
    <row r="18" spans="1:11" ht="21" customHeight="1">
      <c r="B18" s="19" t="s">
        <v>65</v>
      </c>
      <c r="C18" s="19"/>
      <c r="D18" s="19"/>
      <c r="E18" s="19"/>
      <c r="F18" s="19"/>
      <c r="G18" s="19"/>
      <c r="H18" s="19"/>
      <c r="I18" s="19"/>
      <c r="J18" s="19"/>
      <c r="K18" s="19"/>
    </row>
    <row r="19" spans="1:11" ht="21" customHeight="1">
      <c r="B19" s="24" t="s">
        <v>76</v>
      </c>
      <c r="C19" s="24"/>
      <c r="D19" s="24"/>
      <c r="E19" s="24"/>
      <c r="F19" s="24"/>
      <c r="G19" s="24"/>
      <c r="H19" s="24"/>
      <c r="I19" s="24"/>
      <c r="J19" s="24"/>
      <c r="K19" s="24"/>
    </row>
    <row r="20" spans="1:11" ht="21" customHeight="1">
      <c r="B20" s="19" t="s">
        <v>66</v>
      </c>
      <c r="C20" s="19"/>
      <c r="D20" s="19"/>
      <c r="E20" s="19"/>
      <c r="F20" s="19"/>
      <c r="G20" s="19"/>
      <c r="H20" s="19"/>
      <c r="I20" s="19"/>
      <c r="J20" s="19"/>
      <c r="K20" s="19"/>
    </row>
    <row r="21" spans="1:11" ht="21" customHeight="1">
      <c r="B21" s="19"/>
      <c r="C21" s="19"/>
      <c r="D21" s="19"/>
      <c r="E21" s="19"/>
      <c r="F21" s="19"/>
      <c r="G21" s="19"/>
      <c r="H21" s="19"/>
      <c r="I21" s="19"/>
      <c r="J21" s="19"/>
      <c r="K21" s="19"/>
    </row>
    <row r="22" spans="1:11" ht="21" customHeight="1">
      <c r="B22" s="19" t="s">
        <v>72</v>
      </c>
      <c r="C22" s="19"/>
      <c r="D22" s="19"/>
      <c r="E22" s="19"/>
      <c r="F22" s="19"/>
      <c r="G22" s="19"/>
      <c r="H22" s="19"/>
      <c r="I22" s="19"/>
      <c r="J22" s="19"/>
      <c r="K22" s="19"/>
    </row>
    <row r="23" spans="1:11" ht="21" customHeight="1">
      <c r="B23" s="19" t="s">
        <v>73</v>
      </c>
      <c r="C23" s="19"/>
      <c r="D23" s="19"/>
      <c r="E23" s="19"/>
      <c r="F23" s="19"/>
      <c r="G23" s="19"/>
      <c r="H23" s="19"/>
      <c r="I23" s="19"/>
      <c r="J23" s="19"/>
      <c r="K23" s="19"/>
    </row>
    <row r="24" spans="1:11" ht="21" customHeight="1">
      <c r="B24" s="24" t="s">
        <v>78</v>
      </c>
      <c r="C24" s="24"/>
      <c r="D24" s="24"/>
      <c r="E24" s="24"/>
      <c r="F24" s="24"/>
      <c r="G24" s="24"/>
      <c r="H24" s="24"/>
      <c r="I24" s="24"/>
      <c r="J24" s="24"/>
      <c r="K24" s="24"/>
    </row>
    <row r="25" spans="1:11" ht="21" customHeight="1">
      <c r="B25" s="19" t="s">
        <v>79</v>
      </c>
      <c r="C25" s="19"/>
      <c r="D25" s="19"/>
      <c r="E25" s="19"/>
      <c r="F25" s="19"/>
      <c r="G25" s="19"/>
      <c r="H25" s="19"/>
      <c r="I25" s="19"/>
      <c r="J25" s="19"/>
      <c r="K25" s="19"/>
    </row>
    <row r="26" spans="1:11" ht="21" customHeight="1">
      <c r="B26" s="19"/>
      <c r="C26" s="19"/>
      <c r="D26" s="19"/>
      <c r="E26" s="19"/>
      <c r="F26" s="19"/>
      <c r="G26" s="19"/>
      <c r="H26" s="19"/>
      <c r="I26" s="19"/>
      <c r="J26" s="19"/>
      <c r="K26" s="19"/>
    </row>
    <row r="27" spans="1:11" ht="29" customHeight="1">
      <c r="A27" s="18" t="s">
        <v>51</v>
      </c>
      <c r="B27" s="18"/>
      <c r="C27" s="18"/>
      <c r="D27" s="18"/>
      <c r="E27" s="18"/>
      <c r="F27" s="18"/>
      <c r="G27" s="18"/>
      <c r="H27" s="18"/>
      <c r="I27" s="18"/>
      <c r="J27" s="18"/>
      <c r="K27" s="18"/>
    </row>
    <row r="28" spans="1:11" ht="21" customHeight="1">
      <c r="B28" s="17" t="s">
        <v>119</v>
      </c>
      <c r="C28" s="17"/>
      <c r="D28" s="17"/>
      <c r="E28" s="17"/>
      <c r="F28" s="17"/>
      <c r="G28" s="17"/>
      <c r="H28" s="17"/>
      <c r="I28" s="17"/>
      <c r="J28" s="17"/>
      <c r="K28" s="17"/>
    </row>
    <row r="29" spans="1:11" ht="21" customHeight="1">
      <c r="B29" s="25" t="s">
        <v>48</v>
      </c>
      <c r="C29" s="25"/>
      <c r="D29" s="25"/>
      <c r="E29" s="25"/>
      <c r="F29" s="25"/>
      <c r="G29" s="25"/>
      <c r="H29" s="25"/>
      <c r="I29" s="25"/>
      <c r="J29" s="25"/>
      <c r="K29" s="25"/>
    </row>
    <row r="30" spans="1:11" ht="21" customHeight="1">
      <c r="B30" s="17"/>
      <c r="C30" s="17"/>
      <c r="D30" s="17"/>
      <c r="E30" s="17"/>
      <c r="F30" s="17"/>
      <c r="G30" s="17"/>
      <c r="H30" s="17"/>
      <c r="I30" s="17"/>
      <c r="J30" s="17"/>
      <c r="K30" s="17"/>
    </row>
    <row r="31" spans="1:11" s="12" customFormat="1" ht="24" customHeight="1">
      <c r="A31" s="20" t="s">
        <v>113</v>
      </c>
      <c r="B31" s="20"/>
      <c r="C31" s="20"/>
      <c r="D31" s="20"/>
      <c r="E31" s="20"/>
      <c r="F31" s="20"/>
      <c r="G31" s="20"/>
      <c r="H31" s="20"/>
      <c r="I31" s="20"/>
      <c r="J31" s="20"/>
      <c r="K31" s="20"/>
    </row>
    <row r="32" spans="1:11" ht="21" customHeight="1">
      <c r="B32" s="17" t="s">
        <v>114</v>
      </c>
      <c r="C32" s="17"/>
      <c r="D32" s="17"/>
      <c r="E32" s="17"/>
      <c r="F32" s="17"/>
      <c r="G32" s="17"/>
      <c r="H32" s="17"/>
      <c r="I32" s="17"/>
      <c r="J32" s="17"/>
      <c r="K32" s="17"/>
    </row>
    <row r="33" spans="1:11" ht="21" customHeight="1">
      <c r="B33" s="17" t="s">
        <v>124</v>
      </c>
      <c r="C33" s="17"/>
      <c r="D33" s="17"/>
      <c r="E33" s="17"/>
      <c r="F33" s="17"/>
      <c r="G33" s="17"/>
      <c r="H33" s="17"/>
      <c r="I33" s="17"/>
      <c r="J33" s="17"/>
      <c r="K33" s="17"/>
    </row>
    <row r="34" spans="1:11" ht="21" customHeight="1">
      <c r="B34" s="17" t="s">
        <v>115</v>
      </c>
      <c r="C34" s="17"/>
      <c r="D34" s="17"/>
      <c r="E34" s="17"/>
      <c r="F34" s="17"/>
      <c r="G34" s="17"/>
      <c r="H34" s="17"/>
      <c r="I34" s="17"/>
      <c r="J34" s="17"/>
      <c r="K34" s="17"/>
    </row>
    <row r="35" spans="1:11" ht="21" customHeight="1">
      <c r="B35" s="17" t="s">
        <v>116</v>
      </c>
      <c r="C35" s="17"/>
      <c r="D35" s="17"/>
      <c r="E35" s="17"/>
      <c r="F35" s="17"/>
      <c r="G35" s="17"/>
      <c r="H35" s="17"/>
      <c r="I35" s="17"/>
      <c r="J35" s="17"/>
      <c r="K35" s="17"/>
    </row>
    <row r="36" spans="1:11" ht="21" customHeight="1">
      <c r="B36" s="17"/>
      <c r="C36" s="17"/>
      <c r="D36" s="17"/>
      <c r="E36" s="17"/>
      <c r="F36" s="17"/>
      <c r="G36" s="17"/>
      <c r="H36" s="17"/>
      <c r="I36" s="17"/>
      <c r="J36" s="17"/>
      <c r="K36" s="17"/>
    </row>
    <row r="37" spans="1:11" ht="21" customHeight="1">
      <c r="B37" s="17"/>
      <c r="C37" s="17"/>
      <c r="D37" s="17"/>
      <c r="E37" s="17"/>
      <c r="F37" s="17"/>
      <c r="G37" s="17"/>
      <c r="H37" s="17"/>
      <c r="I37" s="17"/>
      <c r="J37" s="17"/>
      <c r="K37" s="17"/>
    </row>
    <row r="38" spans="1:11" s="12" customFormat="1" ht="24" customHeight="1">
      <c r="A38" s="20" t="s">
        <v>117</v>
      </c>
      <c r="B38" s="20"/>
      <c r="C38" s="20"/>
      <c r="D38" s="20"/>
      <c r="E38" s="20"/>
      <c r="F38" s="20"/>
      <c r="G38" s="20"/>
      <c r="H38" s="20"/>
      <c r="I38" s="20"/>
      <c r="J38" s="20"/>
      <c r="K38" s="20"/>
    </row>
    <row r="39" spans="1:11" ht="21" customHeight="1">
      <c r="B39" s="17" t="s">
        <v>118</v>
      </c>
      <c r="C39" s="17"/>
      <c r="D39" s="17"/>
      <c r="E39" s="17"/>
      <c r="F39" s="17"/>
      <c r="G39" s="17"/>
      <c r="H39" s="17"/>
      <c r="I39" s="17"/>
      <c r="J39" s="17"/>
      <c r="K39" s="17"/>
    </row>
    <row r="40" spans="1:11" ht="21" customHeight="1">
      <c r="B40" s="17"/>
      <c r="C40" s="17"/>
      <c r="D40" s="17"/>
      <c r="E40" s="17"/>
      <c r="F40" s="17"/>
      <c r="G40" s="17"/>
      <c r="H40" s="17"/>
      <c r="I40" s="17"/>
      <c r="J40" s="17"/>
      <c r="K40" s="17"/>
    </row>
    <row r="41" spans="1:11" ht="21" customHeight="1">
      <c r="B41" s="27" t="s">
        <v>154</v>
      </c>
      <c r="C41" s="26"/>
      <c r="D41" s="26"/>
      <c r="E41" s="26"/>
      <c r="F41" s="26"/>
      <c r="G41" s="26"/>
      <c r="H41" s="26"/>
      <c r="I41" s="26"/>
      <c r="J41" s="26"/>
      <c r="K41" s="26"/>
    </row>
    <row r="42" spans="1:11" ht="21" customHeight="1">
      <c r="B42" s="17" t="s">
        <v>155</v>
      </c>
      <c r="C42" s="17"/>
      <c r="D42" s="17"/>
      <c r="E42" s="17"/>
      <c r="F42" s="17"/>
      <c r="G42" s="17"/>
      <c r="H42" s="17"/>
      <c r="I42" s="17"/>
      <c r="J42" s="17"/>
      <c r="K42" s="17"/>
    </row>
    <row r="43" spans="1:11" ht="21" customHeight="1">
      <c r="B43" s="17" t="s">
        <v>156</v>
      </c>
      <c r="C43" s="17"/>
      <c r="D43" s="17"/>
      <c r="E43" s="17"/>
      <c r="F43" s="17"/>
      <c r="G43" s="17"/>
      <c r="H43" s="17"/>
      <c r="I43" s="17"/>
      <c r="J43" s="17"/>
      <c r="K43" s="17"/>
    </row>
    <row r="44" spans="1:11" ht="21" customHeight="1">
      <c r="B44" s="17"/>
      <c r="C44" s="17"/>
      <c r="D44" s="17"/>
      <c r="E44" s="17"/>
      <c r="F44" s="17"/>
      <c r="G44" s="17"/>
      <c r="H44" s="17"/>
      <c r="I44" s="17"/>
      <c r="J44" s="17"/>
      <c r="K44" s="17"/>
    </row>
    <row r="45" spans="1:11" ht="21" customHeight="1">
      <c r="B45" s="27" t="s">
        <v>157</v>
      </c>
      <c r="C45" s="26"/>
      <c r="D45" s="26"/>
      <c r="E45" s="26"/>
      <c r="F45" s="26"/>
      <c r="G45" s="26"/>
      <c r="H45" s="26"/>
      <c r="I45" s="26"/>
      <c r="J45" s="26"/>
      <c r="K45" s="26"/>
    </row>
    <row r="46" spans="1:11" ht="21" customHeight="1">
      <c r="B46" s="26" t="s">
        <v>158</v>
      </c>
      <c r="C46" s="17"/>
      <c r="D46" s="17"/>
      <c r="E46" s="17"/>
      <c r="F46" s="17"/>
      <c r="G46" s="17"/>
      <c r="H46" s="17"/>
      <c r="I46" s="17"/>
      <c r="J46" s="17"/>
      <c r="K46" s="17"/>
    </row>
    <row r="47" spans="1:11" ht="21" customHeight="1">
      <c r="B47" s="17" t="s">
        <v>159</v>
      </c>
      <c r="C47" s="17"/>
      <c r="D47" s="17"/>
      <c r="E47" s="17"/>
      <c r="F47" s="17"/>
      <c r="G47" s="17"/>
      <c r="H47" s="17"/>
      <c r="I47" s="17"/>
      <c r="J47" s="17"/>
      <c r="K47" s="17"/>
    </row>
    <row r="48" spans="1:11" ht="21" customHeight="1">
      <c r="B48" s="17"/>
      <c r="C48" s="17"/>
      <c r="D48" s="17"/>
      <c r="E48" s="17"/>
      <c r="F48" s="17"/>
      <c r="G48" s="17"/>
      <c r="H48" s="17"/>
      <c r="I48" s="17"/>
      <c r="J48" s="17"/>
      <c r="K48" s="17"/>
    </row>
    <row r="49" spans="2:11" ht="21" customHeight="1">
      <c r="B49" s="27" t="s">
        <v>160</v>
      </c>
      <c r="C49" s="26"/>
      <c r="D49" s="26"/>
      <c r="E49" s="26"/>
      <c r="F49" s="26"/>
      <c r="G49" s="26"/>
      <c r="H49" s="26"/>
      <c r="I49" s="26"/>
      <c r="J49" s="26"/>
      <c r="K49" s="26"/>
    </row>
    <row r="50" spans="2:11" ht="21" customHeight="1">
      <c r="B50" s="17" t="s">
        <v>161</v>
      </c>
      <c r="C50" s="17"/>
      <c r="D50" s="17"/>
      <c r="E50" s="17"/>
      <c r="F50" s="17"/>
      <c r="G50" s="17"/>
      <c r="H50" s="17"/>
      <c r="I50" s="17"/>
      <c r="J50" s="17"/>
      <c r="K50" s="17"/>
    </row>
    <row r="51" spans="2:11" ht="21" customHeight="1">
      <c r="B51" s="26" t="s">
        <v>162</v>
      </c>
      <c r="C51" s="17"/>
      <c r="D51" s="17"/>
      <c r="E51" s="17"/>
      <c r="F51" s="17"/>
      <c r="G51" s="17"/>
      <c r="H51" s="17"/>
      <c r="I51" s="17"/>
      <c r="J51" s="17"/>
      <c r="K51" s="17"/>
    </row>
    <row r="52" spans="2:11" ht="21" customHeight="1">
      <c r="B52" s="17" t="s">
        <v>163</v>
      </c>
      <c r="C52" s="17"/>
      <c r="D52" s="17"/>
      <c r="E52" s="17"/>
      <c r="F52" s="17"/>
      <c r="G52" s="17"/>
      <c r="H52" s="17"/>
      <c r="I52" s="17"/>
      <c r="J52" s="17"/>
      <c r="K52" s="17"/>
    </row>
    <row r="53" spans="2:11" ht="21" customHeight="1">
      <c r="B53" s="17" t="s">
        <v>164</v>
      </c>
      <c r="C53" s="17"/>
      <c r="D53" s="17"/>
      <c r="E53" s="17"/>
      <c r="F53" s="17"/>
      <c r="G53" s="17"/>
      <c r="H53" s="17"/>
      <c r="I53" s="17"/>
      <c r="J53" s="17"/>
      <c r="K53" s="17"/>
    </row>
    <row r="54" spans="2:11" ht="21" customHeight="1">
      <c r="B54" s="17"/>
      <c r="C54" s="17"/>
      <c r="D54" s="17"/>
      <c r="E54" s="17"/>
      <c r="F54" s="17"/>
      <c r="G54" s="17"/>
      <c r="H54" s="17"/>
      <c r="I54" s="17"/>
      <c r="J54" s="17"/>
      <c r="K54" s="17"/>
    </row>
    <row r="55" spans="2:11" ht="21" customHeight="1">
      <c r="B55" s="27" t="s">
        <v>165</v>
      </c>
      <c r="C55" s="26"/>
      <c r="D55" s="26"/>
      <c r="E55" s="26"/>
      <c r="F55" s="26"/>
      <c r="G55" s="26"/>
      <c r="H55" s="26"/>
      <c r="I55" s="26"/>
      <c r="J55" s="26"/>
      <c r="K55" s="26"/>
    </row>
    <row r="56" spans="2:11" ht="21" customHeight="1">
      <c r="B56" s="17" t="s">
        <v>166</v>
      </c>
      <c r="C56" s="17"/>
      <c r="D56" s="17"/>
      <c r="E56" s="17"/>
      <c r="F56" s="17"/>
      <c r="G56" s="17"/>
      <c r="H56" s="17"/>
      <c r="I56" s="17"/>
      <c r="J56" s="17"/>
      <c r="K56" s="17"/>
    </row>
    <row r="57" spans="2:11" ht="21" customHeight="1">
      <c r="B57" s="17" t="s">
        <v>159</v>
      </c>
      <c r="C57" s="17"/>
      <c r="D57" s="17"/>
      <c r="E57" s="17"/>
      <c r="F57" s="17"/>
      <c r="G57" s="17"/>
      <c r="H57" s="17"/>
      <c r="I57" s="17"/>
      <c r="J57" s="17"/>
      <c r="K57" s="17"/>
    </row>
    <row r="58" spans="2:11" ht="21" customHeight="1">
      <c r="B58" s="17"/>
      <c r="C58" s="17"/>
      <c r="D58" s="17"/>
      <c r="E58" s="17"/>
      <c r="F58" s="17"/>
      <c r="G58" s="17"/>
      <c r="H58" s="17"/>
      <c r="I58" s="17"/>
      <c r="J58" s="17"/>
      <c r="K58" s="17"/>
    </row>
    <row r="59" spans="2:11" ht="21" customHeight="1">
      <c r="B59" s="27" t="s">
        <v>167</v>
      </c>
      <c r="C59" s="26"/>
      <c r="D59" s="26"/>
      <c r="E59" s="26"/>
      <c r="F59" s="26"/>
      <c r="G59" s="26"/>
      <c r="H59" s="26"/>
      <c r="I59" s="26"/>
      <c r="J59" s="26"/>
      <c r="K59" s="26"/>
    </row>
    <row r="60" spans="2:11" ht="21" customHeight="1">
      <c r="B60" s="17" t="s">
        <v>161</v>
      </c>
      <c r="C60" s="17"/>
      <c r="D60" s="17"/>
      <c r="E60" s="17"/>
      <c r="F60" s="17"/>
      <c r="G60" s="17"/>
      <c r="H60" s="17"/>
      <c r="I60" s="17"/>
      <c r="J60" s="17"/>
      <c r="K60" s="17"/>
    </row>
    <row r="61" spans="2:11" ht="21" customHeight="1">
      <c r="B61" s="17" t="s">
        <v>168</v>
      </c>
      <c r="C61" s="17"/>
      <c r="D61" s="17"/>
      <c r="E61" s="17"/>
      <c r="F61" s="17"/>
      <c r="G61" s="17"/>
      <c r="H61" s="17"/>
      <c r="I61" s="17"/>
      <c r="J61" s="17"/>
      <c r="K61" s="17"/>
    </row>
    <row r="62" spans="2:11" ht="21" customHeight="1">
      <c r="B62" s="17" t="s">
        <v>169</v>
      </c>
      <c r="C62" s="17"/>
      <c r="D62" s="17"/>
      <c r="E62" s="17"/>
      <c r="F62" s="17"/>
      <c r="G62" s="17"/>
      <c r="H62" s="17"/>
      <c r="I62" s="17"/>
      <c r="J62" s="17"/>
      <c r="K62" s="17"/>
    </row>
    <row r="63" spans="2:11" ht="21" customHeight="1">
      <c r="B63" s="17" t="s">
        <v>164</v>
      </c>
      <c r="C63" s="17"/>
      <c r="D63" s="17"/>
      <c r="E63" s="17"/>
      <c r="F63" s="17"/>
      <c r="G63" s="17"/>
      <c r="H63" s="17"/>
      <c r="I63" s="17"/>
      <c r="J63" s="17"/>
      <c r="K63" s="17"/>
    </row>
    <row r="64" spans="2:11" ht="21" customHeight="1">
      <c r="B64" s="17"/>
      <c r="C64" s="17"/>
      <c r="D64" s="17"/>
      <c r="E64" s="17"/>
      <c r="F64" s="17"/>
      <c r="G64" s="17"/>
      <c r="H64" s="17"/>
      <c r="I64" s="17"/>
      <c r="J64" s="17"/>
      <c r="K64" s="17"/>
    </row>
    <row r="65" spans="1:11" ht="21" customHeight="1">
      <c r="B65" s="27" t="s">
        <v>170</v>
      </c>
      <c r="C65" s="26"/>
      <c r="D65" s="26"/>
      <c r="E65" s="26"/>
      <c r="F65" s="26"/>
      <c r="G65" s="26"/>
      <c r="H65" s="26"/>
      <c r="I65" s="26"/>
      <c r="J65" s="26"/>
      <c r="K65" s="26"/>
    </row>
    <row r="66" spans="1:11" ht="21" customHeight="1">
      <c r="B66" s="17" t="s">
        <v>171</v>
      </c>
      <c r="C66" s="17"/>
      <c r="D66" s="17"/>
      <c r="E66" s="17"/>
      <c r="F66" s="17"/>
      <c r="G66" s="17"/>
      <c r="H66" s="17"/>
      <c r="I66" s="17"/>
      <c r="J66" s="17"/>
      <c r="K66" s="17"/>
    </row>
    <row r="67" spans="1:11" ht="21" customHeight="1">
      <c r="B67" s="26" t="s">
        <v>172</v>
      </c>
      <c r="C67" s="17"/>
      <c r="D67" s="17"/>
      <c r="E67" s="17"/>
      <c r="F67" s="17"/>
      <c r="G67" s="17"/>
      <c r="H67" s="17"/>
      <c r="I67" s="17"/>
      <c r="J67" s="17"/>
      <c r="K67" s="17"/>
    </row>
    <row r="68" spans="1:11" ht="21" customHeight="1">
      <c r="B68" s="17" t="s">
        <v>173</v>
      </c>
      <c r="C68" s="17"/>
      <c r="D68" s="17"/>
      <c r="E68" s="17"/>
      <c r="F68" s="17"/>
      <c r="G68" s="17"/>
      <c r="H68" s="17"/>
      <c r="I68" s="17"/>
      <c r="J68" s="17"/>
      <c r="K68" s="17"/>
    </row>
    <row r="69" spans="1:11" ht="21" customHeight="1">
      <c r="B69" s="24" t="s">
        <v>49</v>
      </c>
      <c r="C69" s="24"/>
      <c r="D69" s="24"/>
      <c r="E69" s="24"/>
      <c r="F69" s="24"/>
      <c r="G69" s="24"/>
      <c r="H69" s="24"/>
      <c r="I69" s="24"/>
      <c r="J69" s="24"/>
      <c r="K69" s="24"/>
    </row>
    <row r="70" spans="1:11" ht="21" customHeight="1">
      <c r="B70" s="17"/>
      <c r="C70" s="17"/>
      <c r="D70" s="17"/>
      <c r="E70" s="17"/>
      <c r="F70" s="17"/>
      <c r="G70" s="17"/>
      <c r="H70" s="17"/>
      <c r="I70" s="17"/>
      <c r="J70" s="17"/>
      <c r="K70" s="17"/>
    </row>
    <row r="71" spans="1:11" ht="21" customHeight="1">
      <c r="B71" s="27" t="s">
        <v>174</v>
      </c>
      <c r="C71" s="26"/>
      <c r="D71" s="26"/>
      <c r="E71" s="26"/>
      <c r="F71" s="26"/>
      <c r="G71" s="26"/>
      <c r="H71" s="26"/>
      <c r="I71" s="26"/>
      <c r="J71" s="26"/>
      <c r="K71" s="26"/>
    </row>
    <row r="72" spans="1:11" ht="21" customHeight="1">
      <c r="B72" s="17" t="s">
        <v>175</v>
      </c>
      <c r="C72" s="17"/>
      <c r="D72" s="17"/>
      <c r="E72" s="17"/>
      <c r="F72" s="17"/>
      <c r="G72" s="17"/>
      <c r="H72" s="17"/>
      <c r="I72" s="17"/>
      <c r="J72" s="17"/>
      <c r="K72" s="17"/>
    </row>
    <row r="73" spans="1:11" ht="21" customHeight="1">
      <c r="B73" s="60" t="s">
        <v>192</v>
      </c>
      <c r="C73" s="60"/>
      <c r="D73" s="60"/>
      <c r="E73" s="60"/>
      <c r="F73" s="60"/>
      <c r="G73" s="60"/>
      <c r="H73" s="60"/>
      <c r="I73" s="60"/>
      <c r="J73" s="60"/>
      <c r="K73" s="60"/>
    </row>
    <row r="74" spans="1:11" ht="21" customHeight="1">
      <c r="B74" s="17"/>
      <c r="C74" s="17"/>
      <c r="D74" s="17"/>
      <c r="E74" s="17"/>
      <c r="F74" s="17"/>
      <c r="G74" s="17"/>
      <c r="H74" s="17"/>
      <c r="I74" s="17"/>
      <c r="J74" s="17"/>
      <c r="K74" s="17"/>
    </row>
    <row r="75" spans="1:11" s="12" customFormat="1" ht="24" customHeight="1">
      <c r="A75" s="20" t="s">
        <v>120</v>
      </c>
      <c r="B75" s="20"/>
      <c r="C75" s="20"/>
      <c r="D75" s="20"/>
      <c r="E75" s="20"/>
      <c r="F75" s="20"/>
      <c r="G75" s="20"/>
      <c r="H75" s="20"/>
      <c r="I75" s="20"/>
      <c r="J75" s="20"/>
      <c r="K75" s="20"/>
    </row>
    <row r="76" spans="1:11" ht="21" customHeight="1">
      <c r="B76" s="26" t="s">
        <v>176</v>
      </c>
      <c r="C76" s="26"/>
      <c r="D76" s="26"/>
      <c r="E76" s="26"/>
      <c r="F76" s="26"/>
      <c r="G76" s="26"/>
      <c r="H76" s="26"/>
      <c r="I76" s="26"/>
      <c r="J76" s="26"/>
      <c r="K76" s="26"/>
    </row>
    <row r="77" spans="1:11" ht="21" customHeight="1">
      <c r="B77" s="17" t="s">
        <v>177</v>
      </c>
      <c r="C77" s="17"/>
      <c r="D77" s="17"/>
      <c r="E77" s="17"/>
      <c r="F77" s="17"/>
      <c r="G77" s="17"/>
      <c r="H77" s="17"/>
      <c r="I77" s="17"/>
      <c r="J77" s="17"/>
      <c r="K77" s="17"/>
    </row>
    <row r="78" spans="1:11" ht="21" customHeight="1">
      <c r="B78" s="17"/>
      <c r="C78" s="17"/>
      <c r="D78" s="17"/>
      <c r="E78" s="17"/>
      <c r="F78" s="17"/>
      <c r="G78" s="17"/>
      <c r="H78" s="17"/>
      <c r="I78" s="17"/>
      <c r="J78" s="17"/>
      <c r="K78" s="17"/>
    </row>
    <row r="79" spans="1:11" s="12" customFormat="1" ht="24" customHeight="1">
      <c r="A79" s="20" t="s">
        <v>122</v>
      </c>
      <c r="B79" s="20"/>
      <c r="C79" s="20"/>
      <c r="D79" s="20"/>
      <c r="E79" s="20"/>
      <c r="F79" s="20"/>
      <c r="G79" s="20"/>
      <c r="H79" s="20"/>
      <c r="I79" s="20"/>
      <c r="J79" s="20"/>
      <c r="K79" s="20"/>
    </row>
    <row r="80" spans="1:11" ht="21" customHeight="1">
      <c r="B80" s="17" t="s">
        <v>123</v>
      </c>
      <c r="C80" s="17"/>
      <c r="D80" s="17"/>
      <c r="E80" s="17"/>
      <c r="F80" s="17"/>
      <c r="G80" s="17"/>
      <c r="H80" s="17"/>
      <c r="I80" s="17"/>
      <c r="J80" s="17"/>
      <c r="K80" s="17"/>
    </row>
    <row r="81" spans="2:11" ht="21" customHeight="1">
      <c r="B81" s="17" t="s">
        <v>152</v>
      </c>
      <c r="C81" s="17"/>
      <c r="D81" s="17"/>
      <c r="E81" s="17"/>
      <c r="F81" s="17"/>
      <c r="G81" s="17"/>
      <c r="H81" s="17"/>
      <c r="I81" s="17"/>
      <c r="J81" s="17"/>
      <c r="K81" s="17"/>
    </row>
    <row r="82" spans="2:11" ht="21" customHeight="1">
      <c r="B82" s="17" t="s">
        <v>153</v>
      </c>
      <c r="C82" s="17"/>
      <c r="D82" s="17"/>
      <c r="E82" s="17"/>
      <c r="F82" s="17"/>
      <c r="G82" s="17"/>
      <c r="H82" s="17"/>
      <c r="I82" s="17"/>
      <c r="J82" s="17"/>
      <c r="K82" s="17"/>
    </row>
    <row r="83" spans="2:11" ht="21" customHeight="1">
      <c r="B83" s="17" t="s">
        <v>189</v>
      </c>
      <c r="C83" s="17"/>
      <c r="D83" s="17"/>
      <c r="E83" s="17"/>
      <c r="F83" s="17"/>
      <c r="G83" s="17"/>
      <c r="H83" s="17"/>
      <c r="I83" s="17"/>
      <c r="J83" s="17"/>
      <c r="K83" s="17"/>
    </row>
  </sheetData>
  <mergeCells count="83">
    <mergeCell ref="B60:K60"/>
    <mergeCell ref="B81:K81"/>
    <mergeCell ref="B82:K82"/>
    <mergeCell ref="A27:K27"/>
    <mergeCell ref="A31:K31"/>
    <mergeCell ref="A38:K38"/>
    <mergeCell ref="A75:K75"/>
    <mergeCell ref="B42:K42"/>
    <mergeCell ref="B43:K43"/>
    <mergeCell ref="B51:K51"/>
    <mergeCell ref="B76:K76"/>
    <mergeCell ref="B77:K77"/>
    <mergeCell ref="B78:K78"/>
    <mergeCell ref="B80:K80"/>
    <mergeCell ref="B52:K52"/>
    <mergeCell ref="B53:K53"/>
    <mergeCell ref="B65:K65"/>
    <mergeCell ref="B69:K69"/>
    <mergeCell ref="B70:K70"/>
    <mergeCell ref="B71:K71"/>
    <mergeCell ref="B64:K64"/>
    <mergeCell ref="B72:K72"/>
    <mergeCell ref="B74:K74"/>
    <mergeCell ref="B66:K66"/>
    <mergeCell ref="B67:K67"/>
    <mergeCell ref="B68:K68"/>
    <mergeCell ref="B73:K73"/>
    <mergeCell ref="B49:K49"/>
    <mergeCell ref="B54:K54"/>
    <mergeCell ref="B55:K55"/>
    <mergeCell ref="B58:K58"/>
    <mergeCell ref="B59:K59"/>
    <mergeCell ref="B50:K50"/>
    <mergeCell ref="B57:K57"/>
    <mergeCell ref="B56:K56"/>
    <mergeCell ref="B48:K48"/>
    <mergeCell ref="B46:K46"/>
    <mergeCell ref="B47:K47"/>
    <mergeCell ref="B32:K32"/>
    <mergeCell ref="B33:K33"/>
    <mergeCell ref="B34:K34"/>
    <mergeCell ref="B35:K35"/>
    <mergeCell ref="B36:K36"/>
    <mergeCell ref="B37:K37"/>
    <mergeCell ref="B39:K39"/>
    <mergeCell ref="B40:K40"/>
    <mergeCell ref="B41:K41"/>
    <mergeCell ref="B44:K44"/>
    <mergeCell ref="B45:K45"/>
    <mergeCell ref="B24:K24"/>
    <mergeCell ref="B25:K25"/>
    <mergeCell ref="B26:K26"/>
    <mergeCell ref="B28:K28"/>
    <mergeCell ref="B29:K29"/>
    <mergeCell ref="B6:K6"/>
    <mergeCell ref="B23:K23"/>
    <mergeCell ref="B12:K12"/>
    <mergeCell ref="B13:K13"/>
    <mergeCell ref="B14:K14"/>
    <mergeCell ref="B15:K15"/>
    <mergeCell ref="B16:K16"/>
    <mergeCell ref="B17:K17"/>
    <mergeCell ref="B18:K18"/>
    <mergeCell ref="B19:K19"/>
    <mergeCell ref="B20:K20"/>
    <mergeCell ref="B21:K21"/>
    <mergeCell ref="B22:K22"/>
    <mergeCell ref="B83:K83"/>
    <mergeCell ref="B10:K10"/>
    <mergeCell ref="A1:K1"/>
    <mergeCell ref="B30:K30"/>
    <mergeCell ref="B11:K11"/>
    <mergeCell ref="B7:K7"/>
    <mergeCell ref="B8:K8"/>
    <mergeCell ref="B9:K9"/>
    <mergeCell ref="A79:K79"/>
    <mergeCell ref="B61:K61"/>
    <mergeCell ref="B62:K62"/>
    <mergeCell ref="B63:K63"/>
    <mergeCell ref="B2:K2"/>
    <mergeCell ref="B3:K3"/>
    <mergeCell ref="B4:K4"/>
    <mergeCell ref="B5:K5"/>
  </mergeCells>
  <phoneticPr fontId="1"/>
  <hyperlinks>
    <hyperlink ref="B69" r:id="rId1" location="jump" display="https://ota-life.com/music-newsong/#jump" xr:uid="{E76DEB9A-A37E-514E-A83D-3D64428A7EA9}"/>
    <hyperlink ref="B17" r:id="rId2" xr:uid="{6DEFC41D-5D8F-E248-8B91-DDB359DD2A9C}"/>
    <hyperlink ref="B19" r:id="rId3" xr:uid="{F6994B44-E943-974B-AFE9-3121492592AF}"/>
    <hyperlink ref="B24" r:id="rId4" xr:uid="{FB299C57-24FA-894A-BD15-0543E2ABD4A2}"/>
  </hyperlinks>
  <pageMargins left="0.7" right="0.7" top="0.75" bottom="0.75" header="0.3" footer="0.3"/>
  <pageSetup paperSize="9" scale="69" orientation="portrait" horizontalDpi="0" verticalDpi="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C33CB5-81AD-8A43-AC91-2FD873599C65}">
  <dimension ref="B2:I43"/>
  <sheetViews>
    <sheetView zoomScaleNormal="100" workbookViewId="0"/>
  </sheetViews>
  <sheetFormatPr baseColWidth="10" defaultRowHeight="20"/>
  <cols>
    <col min="1" max="1" width="10.7109375" style="33"/>
    <col min="2" max="2" width="17.28515625" style="33" customWidth="1"/>
    <col min="3" max="3" width="17" style="33" customWidth="1"/>
    <col min="4" max="4" width="13" style="33" customWidth="1"/>
    <col min="5" max="8" width="10.7109375" style="33"/>
    <col min="9" max="9" width="90.5703125" style="33" customWidth="1"/>
    <col min="10" max="16384" width="10.7109375" style="33"/>
  </cols>
  <sheetData>
    <row r="2" spans="2:9" ht="23">
      <c r="B2" s="32" t="s">
        <v>109</v>
      </c>
      <c r="C2" s="33" t="s">
        <v>96</v>
      </c>
      <c r="D2" s="28" t="s">
        <v>181</v>
      </c>
      <c r="E2" s="28"/>
      <c r="I2" s="33" t="s">
        <v>111</v>
      </c>
    </row>
    <row r="3" spans="2:9">
      <c r="C3" s="33" t="s">
        <v>97</v>
      </c>
      <c r="D3" s="33" t="str">
        <f>VLOOKUP($D$2,特効計算用!$A$4:$F$7,2,)&amp;""</f>
        <v>★5</v>
      </c>
      <c r="E3" s="15"/>
      <c r="F3" s="33" t="str">
        <f t="shared" ref="F3:F6" si="0">IF(D3="","","枚")</f>
        <v>枚</v>
      </c>
      <c r="G3" s="34">
        <f>IFERROR(VLOOKUP($E3,特効計算用!$A$9:$K$16,VLOOKUP(特効計算!$D$2,特効計算用!$A$4:$H$7,8,)+VLOOKUP($D3,特効計算用!$A$18:$B$20,2,),),"")</f>
        <v>0</v>
      </c>
      <c r="I3" s="33" t="s">
        <v>126</v>
      </c>
    </row>
    <row r="4" spans="2:9">
      <c r="D4" s="33" t="str">
        <f>VLOOKUP($D$2,特効計算用!$A$4:$F$7,3,)&amp;""</f>
        <v>★4</v>
      </c>
      <c r="E4" s="15"/>
      <c r="F4" s="33" t="str">
        <f t="shared" si="0"/>
        <v>枚</v>
      </c>
      <c r="G4" s="34">
        <f>IFERROR(VLOOKUP($E4,特効計算用!$A$9:$K$16,VLOOKUP(特効計算!$D$2,特効計算用!$A$4:$H$7,8,)+VLOOKUP($D4,特効計算用!$A$18:$B$20,2,),),"")</f>
        <v>0</v>
      </c>
    </row>
    <row r="5" spans="2:9">
      <c r="D5" s="33" t="str">
        <f>VLOOKUP($D$2,特効計算用!$A$4:$F$7,4,)&amp;""</f>
        <v>★3</v>
      </c>
      <c r="E5" s="15"/>
      <c r="F5" s="33" t="str">
        <f t="shared" si="0"/>
        <v>枚</v>
      </c>
      <c r="G5" s="34">
        <f>IFERROR(VLOOKUP($E5,特効計算用!$A$9:$K$16,VLOOKUP(特効計算!$D$2,特効計算用!$A$4:$H$7,8,)+VLOOKUP($D5,特効計算用!$A$18:$B$20,2,),),"")</f>
        <v>0</v>
      </c>
      <c r="I5" s="33" t="s">
        <v>112</v>
      </c>
    </row>
    <row r="6" spans="2:9">
      <c r="D6" s="33" t="str">
        <f>VLOOKUP($D$2,特効計算用!$A$4:$F$7,5,)&amp;""</f>
        <v>★3</v>
      </c>
      <c r="E6" s="15"/>
      <c r="F6" s="33" t="str">
        <f t="shared" si="0"/>
        <v>枚</v>
      </c>
      <c r="G6" s="34">
        <f>IFERROR(VLOOKUP($E6,特効計算用!$A$9:$K$16,VLOOKUP(特効計算!$D$2,特効計算用!$A$4:$H$7,8,)+VLOOKUP($D6,特効計算用!$A$18:$B$20,2,),),"")</f>
        <v>0</v>
      </c>
    </row>
    <row r="7" spans="2:9">
      <c r="D7" s="33" t="str">
        <f>VLOOKUP($D$2,特効計算用!$A$4:$F$7,6,)&amp;""</f>
        <v>★3</v>
      </c>
      <c r="E7" s="15"/>
      <c r="F7" s="33" t="str">
        <f>IF(D7="","","枚")</f>
        <v>枚</v>
      </c>
      <c r="G7" s="34">
        <f>IFERROR(VLOOKUP($E7,特効計算用!$A$9:$K$16,VLOOKUP(特効計算!$D$2,特効計算用!$A$4:$H$7,8,)+VLOOKUP($D7,特効計算用!$A$18:$B$20,2,),),"")</f>
        <v>0</v>
      </c>
    </row>
    <row r="8" spans="2:9">
      <c r="F8" s="33" t="s">
        <v>46</v>
      </c>
      <c r="G8" s="34">
        <f>SUM(G3:G7)</f>
        <v>0</v>
      </c>
      <c r="I8" s="33" t="s">
        <v>125</v>
      </c>
    </row>
    <row r="9" spans="2:9">
      <c r="I9" s="33" t="s">
        <v>127</v>
      </c>
    </row>
    <row r="10" spans="2:9">
      <c r="C10" s="33" t="s">
        <v>96</v>
      </c>
      <c r="D10" s="28" t="s">
        <v>181</v>
      </c>
      <c r="E10" s="28"/>
      <c r="I10" s="33" t="s">
        <v>128</v>
      </c>
    </row>
    <row r="11" spans="2:9">
      <c r="C11" s="33" t="s">
        <v>97</v>
      </c>
      <c r="D11" s="33" t="str">
        <f>VLOOKUP($D$10,特効計算用!$A$4:$F$7,2,)&amp;""</f>
        <v>★5</v>
      </c>
      <c r="E11" s="15"/>
      <c r="F11" s="33" t="str">
        <f t="shared" ref="F11:F14" si="1">IF(D11="","","枚")</f>
        <v>枚</v>
      </c>
      <c r="G11" s="34">
        <f>IFERROR(VLOOKUP($E11,特効計算用!$A$9:$K$16,VLOOKUP(特効計算!$D$10,特効計算用!$A$4:$H$7,8,)+VLOOKUP($D11,特効計算用!$A$18:$B$20,2,),),"")</f>
        <v>0</v>
      </c>
      <c r="I11" s="33" t="s">
        <v>129</v>
      </c>
    </row>
    <row r="12" spans="2:9">
      <c r="D12" s="33" t="str">
        <f>VLOOKUP($D$10,特効計算用!$A$4:$F$7,3,)&amp;""</f>
        <v>★4</v>
      </c>
      <c r="E12" s="15"/>
      <c r="F12" s="33" t="str">
        <f t="shared" si="1"/>
        <v>枚</v>
      </c>
      <c r="G12" s="34">
        <f>IFERROR(VLOOKUP($E12,特効計算用!$A$9:$K$16,VLOOKUP(特効計算!$D$10,特効計算用!$A$4:$H$7,8,)+VLOOKUP($D12,特効計算用!$A$18:$B$20,2,),),"")</f>
        <v>0</v>
      </c>
      <c r="I12" s="33" t="s">
        <v>130</v>
      </c>
    </row>
    <row r="13" spans="2:9">
      <c r="D13" s="33" t="str">
        <f>VLOOKUP($D$10,特効計算用!$A$4:$F$7,4,)&amp;""</f>
        <v>★3</v>
      </c>
      <c r="E13" s="15"/>
      <c r="F13" s="33" t="str">
        <f t="shared" si="1"/>
        <v>枚</v>
      </c>
      <c r="G13" s="34">
        <f>IFERROR(VLOOKUP($E13,特効計算用!$A$9:$K$16,VLOOKUP(特効計算!$D$10,特効計算用!$A$4:$H$7,8,)+VLOOKUP($D13,特効計算用!$A$18:$B$20,2,),),"")</f>
        <v>0</v>
      </c>
      <c r="I13" s="33" t="s">
        <v>131</v>
      </c>
    </row>
    <row r="14" spans="2:9">
      <c r="D14" s="33" t="str">
        <f>VLOOKUP($D$10,特効計算用!$A$4:$F$7,5,)&amp;""</f>
        <v>★3</v>
      </c>
      <c r="E14" s="15"/>
      <c r="F14" s="33" t="str">
        <f t="shared" si="1"/>
        <v>枚</v>
      </c>
      <c r="G14" s="34">
        <f>IFERROR(VLOOKUP($E14,特効計算用!$A$9:$K$16,VLOOKUP(特効計算!$D$10,特効計算用!$A$4:$H$7,8,)+VLOOKUP($D14,特効計算用!$A$18:$B$20,2,),),"")</f>
        <v>0</v>
      </c>
      <c r="I14" s="33" t="s">
        <v>132</v>
      </c>
    </row>
    <row r="15" spans="2:9">
      <c r="D15" s="33" t="str">
        <f>VLOOKUP($D$10,特効計算用!$A$4:$F$7,6,)&amp;""</f>
        <v>★3</v>
      </c>
      <c r="E15" s="15"/>
      <c r="F15" s="33" t="str">
        <f>IF(D15="","","枚")</f>
        <v>枚</v>
      </c>
      <c r="G15" s="34">
        <f>IFERROR(VLOOKUP($E15,特効計算用!$A$9:$K$16,VLOOKUP(特効計算!$D$10,特効計算用!$A$4:$H$7,8,)+VLOOKUP($D15,特効計算用!$A$18:$B$20,2,),),"")</f>
        <v>0</v>
      </c>
      <c r="I15" s="33" t="s">
        <v>133</v>
      </c>
    </row>
    <row r="16" spans="2:9">
      <c r="F16" s="33" t="s">
        <v>46</v>
      </c>
      <c r="G16" s="34">
        <f>SUM(G11:G15)</f>
        <v>0</v>
      </c>
      <c r="I16" s="33" t="s">
        <v>134</v>
      </c>
    </row>
    <row r="18" spans="2:9" ht="24" customHeight="1">
      <c r="C18" s="32"/>
      <c r="D18" s="35" t="s">
        <v>102</v>
      </c>
      <c r="E18" s="36">
        <f>COUNTIF(G3:G7,"&gt;=0.01")+COUNTIF(G11:G15,"&gt;=0.01")</f>
        <v>0</v>
      </c>
      <c r="F18" s="32" t="s">
        <v>53</v>
      </c>
      <c r="I18" s="33" t="s">
        <v>139</v>
      </c>
    </row>
    <row r="19" spans="2:9" ht="23">
      <c r="C19" s="32"/>
      <c r="D19" s="35" t="s">
        <v>108</v>
      </c>
      <c r="E19" s="37">
        <f>(G8+G16)*100</f>
        <v>0</v>
      </c>
      <c r="F19" s="32" t="s">
        <v>3</v>
      </c>
      <c r="I19" s="33" t="s">
        <v>135</v>
      </c>
    </row>
    <row r="20" spans="2:9">
      <c r="E20" s="33" t="str">
        <f>IF($E$18&gt;7,"編成カードの枚数が多すぎます","")</f>
        <v/>
      </c>
      <c r="I20" s="33" t="s">
        <v>136</v>
      </c>
    </row>
    <row r="22" spans="2:9">
      <c r="I22" s="33" t="s">
        <v>137</v>
      </c>
    </row>
    <row r="23" spans="2:9">
      <c r="I23" s="33" t="s">
        <v>138</v>
      </c>
    </row>
    <row r="24" spans="2:9" ht="23">
      <c r="B24" s="32" t="s">
        <v>110</v>
      </c>
      <c r="C24" s="33" t="s">
        <v>96</v>
      </c>
      <c r="D24" s="28" t="s">
        <v>181</v>
      </c>
      <c r="E24" s="28"/>
    </row>
    <row r="25" spans="2:9">
      <c r="C25" s="33" t="s">
        <v>97</v>
      </c>
      <c r="D25" s="33" t="str">
        <f>VLOOKUP($D$24,特効計算用!$A$4:$F$7,2,)&amp;""</f>
        <v>★5</v>
      </c>
      <c r="E25" s="15"/>
      <c r="F25" s="33" t="str">
        <f t="shared" ref="F25:F28" si="2">IF(D25="","","枚")</f>
        <v>枚</v>
      </c>
      <c r="G25" s="34">
        <f>IFERROR(VLOOKUP($E25,特効計算用!$A$9:$K$16,VLOOKUP(特効計算!$D$24,特効計算用!$A$4:$H$7,8,)+VLOOKUP($D25,特効計算用!$A$18:$B$20,2,),),"")</f>
        <v>0</v>
      </c>
    </row>
    <row r="26" spans="2:9">
      <c r="D26" s="33" t="str">
        <f>VLOOKUP($D$24,特効計算用!$A$4:$F$7,3,)&amp;""</f>
        <v>★4</v>
      </c>
      <c r="E26" s="15"/>
      <c r="F26" s="33" t="str">
        <f t="shared" si="2"/>
        <v>枚</v>
      </c>
      <c r="G26" s="34">
        <f>IFERROR(VLOOKUP($E26,特効計算用!$A$9:$K$16,VLOOKUP(特効計算!$D$24,特効計算用!$A$4:$H$7,8,)+VLOOKUP($D26,特効計算用!$A$18:$B$20,2,),),"")</f>
        <v>0</v>
      </c>
    </row>
    <row r="27" spans="2:9">
      <c r="D27" s="33" t="str">
        <f>VLOOKUP($D$24,特効計算用!$A$4:$F$7,4,)&amp;""</f>
        <v>★3</v>
      </c>
      <c r="E27" s="15"/>
      <c r="F27" s="33" t="str">
        <f t="shared" si="2"/>
        <v>枚</v>
      </c>
      <c r="G27" s="34">
        <f>IFERROR(VLOOKUP($E27,特効計算用!$A$9:$K$16,VLOOKUP(特効計算!$D$24,特効計算用!$A$4:$H$7,8,)+VLOOKUP($D27,特効計算用!$A$18:$B$20,2,),),"")</f>
        <v>0</v>
      </c>
    </row>
    <row r="28" spans="2:9">
      <c r="D28" s="33" t="str">
        <f>VLOOKUP($D$24,特効計算用!$A$4:$F$7,5,)&amp;""</f>
        <v>★3</v>
      </c>
      <c r="E28" s="15"/>
      <c r="F28" s="33" t="str">
        <f t="shared" si="2"/>
        <v>枚</v>
      </c>
      <c r="G28" s="34">
        <f>IFERROR(VLOOKUP($E28,特効計算用!$A$9:$K$16,VLOOKUP(特効計算!$D$24,特効計算用!$A$4:$H$7,8,)+VLOOKUP($D28,特効計算用!$A$18:$B$20,2,),),"")</f>
        <v>0</v>
      </c>
    </row>
    <row r="29" spans="2:9">
      <c r="D29" s="33" t="str">
        <f>VLOOKUP($D$24,特効計算用!$A$4:$F$7,6,)&amp;""</f>
        <v>★3</v>
      </c>
      <c r="E29" s="15"/>
      <c r="F29" s="33" t="str">
        <f>IF(D29="","","枚")</f>
        <v>枚</v>
      </c>
      <c r="G29" s="34">
        <f>IFERROR(VLOOKUP($E29,特効計算用!$A$9:$K$16,VLOOKUP(特効計算!$D$24,特効計算用!$A$4:$H$7,8,)+VLOOKUP($D29,特効計算用!$A$18:$B$20,2,),),"")</f>
        <v>0</v>
      </c>
    </row>
    <row r="30" spans="2:9">
      <c r="F30" s="33" t="s">
        <v>46</v>
      </c>
      <c r="G30" s="34">
        <f>SUM(G25:G29)</f>
        <v>0</v>
      </c>
    </row>
    <row r="32" spans="2:9">
      <c r="C32" s="33" t="s">
        <v>96</v>
      </c>
      <c r="D32" s="28" t="s">
        <v>181</v>
      </c>
      <c r="E32" s="28"/>
    </row>
    <row r="33" spans="3:7">
      <c r="C33" s="33" t="s">
        <v>97</v>
      </c>
      <c r="D33" s="33" t="str">
        <f>VLOOKUP($D$32,特効計算用!$A$4:$F$7,2,)&amp;""</f>
        <v>★5</v>
      </c>
      <c r="E33" s="15"/>
      <c r="F33" s="33" t="str">
        <f t="shared" ref="F33:F36" si="3">IF(D33="","","枚")</f>
        <v>枚</v>
      </c>
      <c r="G33" s="34">
        <f>IFERROR(VLOOKUP($E33,特効計算用!$A$9:$K$16,VLOOKUP(特効計算!$D$32,特効計算用!$A$4:$H$7,8,)+VLOOKUP($D33,特効計算用!$A$18:$B$20,2,),),"")</f>
        <v>0</v>
      </c>
    </row>
    <row r="34" spans="3:7">
      <c r="D34" s="33" t="str">
        <f>VLOOKUP($D$32,特効計算用!$A$4:$F$7,3,)&amp;""</f>
        <v>★4</v>
      </c>
      <c r="E34" s="15"/>
      <c r="F34" s="33" t="str">
        <f t="shared" si="3"/>
        <v>枚</v>
      </c>
      <c r="G34" s="34">
        <f>IFERROR(VLOOKUP($E34,特効計算用!$A$9:$K$16,VLOOKUP(特効計算!$D$32,特効計算用!$A$4:$H$7,8,)+VLOOKUP($D34,特効計算用!$A$18:$B$20,2,),),"")</f>
        <v>0</v>
      </c>
    </row>
    <row r="35" spans="3:7">
      <c r="D35" s="33" t="str">
        <f>VLOOKUP($D$32,特効計算用!$A$4:$F$7,4,)&amp;""</f>
        <v>★3</v>
      </c>
      <c r="E35" s="15"/>
      <c r="F35" s="33" t="str">
        <f t="shared" si="3"/>
        <v>枚</v>
      </c>
      <c r="G35" s="34">
        <f>IFERROR(VLOOKUP($E35,特効計算用!$A$9:$K$16,VLOOKUP(特効計算!$D$32,特効計算用!$A$4:$H$7,8,)+VLOOKUP($D35,特効計算用!$A$18:$B$20,2,),),"")</f>
        <v>0</v>
      </c>
    </row>
    <row r="36" spans="3:7">
      <c r="D36" s="33" t="str">
        <f>VLOOKUP($D$32,特効計算用!$A$4:$F$7,5,)&amp;""</f>
        <v>★3</v>
      </c>
      <c r="E36" s="15"/>
      <c r="F36" s="33" t="str">
        <f t="shared" si="3"/>
        <v>枚</v>
      </c>
      <c r="G36" s="34">
        <f>IFERROR(VLOOKUP($E36,特効計算用!$A$9:$K$16,VLOOKUP(特効計算!$D$32,特効計算用!$A$4:$H$7,8,)+VLOOKUP($D36,特効計算用!$A$18:$B$20,2,),),"")</f>
        <v>0</v>
      </c>
    </row>
    <row r="37" spans="3:7">
      <c r="D37" s="33" t="str">
        <f>VLOOKUP($D$32,特効計算用!$A$4:$F$7,6,)&amp;""</f>
        <v>★3</v>
      </c>
      <c r="E37" s="15"/>
      <c r="F37" s="33" t="str">
        <f>IF(D37="","","枚")</f>
        <v>枚</v>
      </c>
      <c r="G37" s="34">
        <f>IFERROR(VLOOKUP($E37,特効計算用!$A$9:$K$16,VLOOKUP(特効計算!$D$32,特効計算用!$A$4:$H$7,8,)+VLOOKUP($D37,特効計算用!$A$18:$B$20,2,),),"")</f>
        <v>0</v>
      </c>
    </row>
    <row r="38" spans="3:7">
      <c r="F38" s="33" t="s">
        <v>46</v>
      </c>
      <c r="G38" s="34">
        <f>SUM(G33:G37)</f>
        <v>0</v>
      </c>
    </row>
    <row r="39" spans="3:7" ht="23">
      <c r="C39" s="38"/>
      <c r="D39" s="38"/>
      <c r="E39" s="38"/>
      <c r="F39" s="38"/>
    </row>
    <row r="40" spans="3:7" ht="23">
      <c r="C40" s="32"/>
      <c r="D40" s="35" t="s">
        <v>102</v>
      </c>
      <c r="E40" s="36">
        <f>IF(D43=TRUE,E18,COUNTIF(G25:G29,"&gt;=0.01")+COUNTIF(G33:G37,"&gt;=0.01"))</f>
        <v>0</v>
      </c>
      <c r="F40" s="32" t="s">
        <v>53</v>
      </c>
    </row>
    <row r="41" spans="3:7" ht="23">
      <c r="C41" s="35"/>
      <c r="D41" s="35" t="s">
        <v>23</v>
      </c>
      <c r="E41" s="37">
        <f>IF(D43=TRUE,E19,(G30+G38)*100)</f>
        <v>0</v>
      </c>
      <c r="F41" s="32" t="s">
        <v>3</v>
      </c>
    </row>
    <row r="42" spans="3:7">
      <c r="E42" s="33" t="str">
        <f>IF($E$40&gt;7,"編成カードの枚数が多すぎます","")</f>
        <v/>
      </c>
    </row>
    <row r="43" spans="3:7">
      <c r="D43" s="39" t="b">
        <v>1</v>
      </c>
      <c r="E43" s="33" t="s">
        <v>187</v>
      </c>
    </row>
  </sheetData>
  <sheetProtection sheet="1" objects="1" scenarios="1"/>
  <mergeCells count="4">
    <mergeCell ref="D10:E10"/>
    <mergeCell ref="D2:E2"/>
    <mergeCell ref="D24:E24"/>
    <mergeCell ref="D32:E32"/>
  </mergeCells>
  <phoneticPr fontId="1"/>
  <conditionalFormatting sqref="E3:E7">
    <cfRule type="expression" dxfId="12" priority="9">
      <formula>F3="枚"</formula>
    </cfRule>
  </conditionalFormatting>
  <conditionalFormatting sqref="E11:E15">
    <cfRule type="expression" dxfId="11" priority="7">
      <formula>F11="枚"</formula>
    </cfRule>
  </conditionalFormatting>
  <conditionalFormatting sqref="E18">
    <cfRule type="cellIs" dxfId="10" priority="6" operator="greaterThan">
      <formula>7</formula>
    </cfRule>
  </conditionalFormatting>
  <conditionalFormatting sqref="E19">
    <cfRule type="expression" dxfId="9" priority="2">
      <formula>$E$18&gt;7</formula>
    </cfRule>
  </conditionalFormatting>
  <conditionalFormatting sqref="E25:E29">
    <cfRule type="expression" dxfId="8" priority="5">
      <formula>F25="枚"</formula>
    </cfRule>
  </conditionalFormatting>
  <conditionalFormatting sqref="E33:E37">
    <cfRule type="expression" dxfId="7" priority="4">
      <formula>F33="枚"</formula>
    </cfRule>
  </conditionalFormatting>
  <conditionalFormatting sqref="E40">
    <cfRule type="cellIs" dxfId="6" priority="3" operator="greaterThan">
      <formula>7</formula>
    </cfRule>
  </conditionalFormatting>
  <conditionalFormatting sqref="E41">
    <cfRule type="expression" dxfId="5" priority="1">
      <formula>$E$40&gt;7</formula>
    </cfRule>
  </conditionalFormatting>
  <dataValidations count="2">
    <dataValidation type="whole" imeMode="halfAlpha" allowBlank="1" showInputMessage="1" showErrorMessage="1" errorTitle="カード1種につき最大5枚です" sqref="E3:E7 E11:E15 E25:E29 E33:E37" xr:uid="{0CA695A3-6218-1B4B-989D-1C3A916C1540}">
      <formula1>0</formula1>
      <formula2>5</formula2>
    </dataValidation>
    <dataValidation errorStyle="warning" allowBlank="1" showInputMessage="1" showErrorMessage="1" errorTitle="ライブに編成できるカードは最大7枚です" sqref="E18 E40" xr:uid="{9BF9B6FE-4A14-3143-9D6A-F5D01A3F6670}"/>
  </dataValidations>
  <pageMargins left="0.7" right="0.7" top="0.75" bottom="0.75" header="0.3" footer="0.3"/>
  <pageSetup paperSize="9" scale="42" orientation="portrait" horizontalDpi="0" verticalDpi="0"/>
  <drawing r:id="rId1"/>
  <legacyDrawing r:id="rId2"/>
  <mc:AlternateContent xmlns:mc="http://schemas.openxmlformats.org/markup-compatibility/2006">
    <mc:Choice Requires="x14">
      <controls>
        <mc:AlternateContent xmlns:mc="http://schemas.openxmlformats.org/markup-compatibility/2006">
          <mc:Choice Requires="x14">
            <control shapeId="8193" r:id="rId3" name="Check Box 1">
              <controlPr defaultSize="0" autoFill="0" autoLine="0" autoPict="0">
                <anchor moveWithCells="1">
                  <from>
                    <xdr:col>3</xdr:col>
                    <xdr:colOff>444500</xdr:colOff>
                    <xdr:row>41</xdr:row>
                    <xdr:rowOff>177800</xdr:rowOff>
                  </from>
                  <to>
                    <xdr:col>3</xdr:col>
                    <xdr:colOff>1143000</xdr:colOff>
                    <xdr:row>43</xdr:row>
                    <xdr:rowOff>50800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1">
        <x14:dataValidation type="list" allowBlank="1" showInputMessage="1" showErrorMessage="1" xr:uid="{30D8E4E6-1BB0-5E4D-9C0D-891A8C0437B8}">
          <x14:formula1>
            <xm:f>特効計算用!$A$4:$A$7</xm:f>
          </x14:formula1>
          <xm:sqref>D2 D10 D24 D32</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EB4CADE-F435-B045-ACEF-5B04FDA71E3A}">
  <dimension ref="B1:G46"/>
  <sheetViews>
    <sheetView zoomScaleNormal="100" workbookViewId="0"/>
  </sheetViews>
  <sheetFormatPr baseColWidth="10" defaultRowHeight="20"/>
  <cols>
    <col min="1" max="1" width="10.7109375" style="33"/>
    <col min="2" max="2" width="27.7109375" style="33" customWidth="1"/>
    <col min="3" max="3" width="12.42578125" style="33" customWidth="1"/>
    <col min="4" max="4" width="18.85546875" style="33" customWidth="1"/>
    <col min="5" max="5" width="12.7109375" style="33" customWidth="1"/>
    <col min="6" max="6" width="15.42578125" style="33" customWidth="1"/>
    <col min="7" max="7" width="21.5703125" style="33" customWidth="1"/>
    <col min="8" max="8" width="79.5703125" style="33" customWidth="1"/>
    <col min="9" max="16384" width="10.7109375" style="33"/>
  </cols>
  <sheetData>
    <row r="1" spans="2:6">
      <c r="B1" s="33" t="s">
        <v>77</v>
      </c>
    </row>
    <row r="3" spans="2:6">
      <c r="B3" s="46" t="s">
        <v>10</v>
      </c>
      <c r="D3" s="13"/>
      <c r="E3" s="33" t="s">
        <v>11</v>
      </c>
    </row>
    <row r="5" spans="2:6">
      <c r="B5" s="46" t="s">
        <v>1</v>
      </c>
      <c r="D5" s="13"/>
      <c r="E5" s="33" t="s">
        <v>8</v>
      </c>
    </row>
    <row r="6" spans="2:6" ht="21" thickBot="1"/>
    <row r="7" spans="2:6" ht="21" thickBot="1">
      <c r="B7" s="46" t="s">
        <v>22</v>
      </c>
      <c r="D7" s="8"/>
      <c r="E7" s="33" t="s">
        <v>3</v>
      </c>
      <c r="F7" s="33" t="s">
        <v>74</v>
      </c>
    </row>
    <row r="8" spans="2:6">
      <c r="C8" s="33" t="s">
        <v>47</v>
      </c>
      <c r="D8" s="34">
        <f>IF(ISNUMBER(D7)*1,D7/100,特効計算!E19/100)</f>
        <v>0</v>
      </c>
    </row>
    <row r="9" spans="2:6">
      <c r="D9" s="33" t="str">
        <f>IF(特効計算!$E$18&gt;7,"特効編成を見直してください","")</f>
        <v/>
      </c>
    </row>
    <row r="10" spans="2:6">
      <c r="B10" s="46" t="s">
        <v>2</v>
      </c>
      <c r="D10" s="13"/>
      <c r="E10" s="33" t="s">
        <v>8</v>
      </c>
    </row>
    <row r="11" spans="2:6" ht="21" thickBot="1"/>
    <row r="12" spans="2:6" ht="21" thickBot="1">
      <c r="B12" s="46" t="s">
        <v>23</v>
      </c>
      <c r="D12" s="8"/>
      <c r="E12" s="33" t="s">
        <v>3</v>
      </c>
      <c r="F12" s="33" t="s">
        <v>74</v>
      </c>
    </row>
    <row r="13" spans="2:6">
      <c r="C13" s="33" t="s">
        <v>47</v>
      </c>
      <c r="D13" s="34">
        <f>IF(ISNUMBER(D12)*1,D12/100,特効計算!E41/100)</f>
        <v>0</v>
      </c>
    </row>
    <row r="14" spans="2:6">
      <c r="D14" s="33" t="str">
        <f>IF(特効計算!$E$40&gt;7,"特効編成を見直してください","")</f>
        <v/>
      </c>
    </row>
    <row r="15" spans="2:6">
      <c r="B15" s="46" t="s">
        <v>15</v>
      </c>
      <c r="D15" s="13"/>
      <c r="E15" s="33" t="s">
        <v>19</v>
      </c>
    </row>
    <row r="17" spans="2:7">
      <c r="B17" s="46" t="s">
        <v>37</v>
      </c>
      <c r="D17" s="40">
        <f>箱イベ計算!D25</f>
        <v>0</v>
      </c>
      <c r="E17" s="33" t="s">
        <v>36</v>
      </c>
    </row>
    <row r="19" spans="2:7">
      <c r="B19" s="46" t="s">
        <v>40</v>
      </c>
      <c r="D19" s="41">
        <f>IFERROR(D17*3/60,)</f>
        <v>0</v>
      </c>
      <c r="E19" s="33" t="s">
        <v>38</v>
      </c>
      <c r="G19" s="42"/>
    </row>
    <row r="20" spans="2:7">
      <c r="G20" s="42"/>
    </row>
    <row r="21" spans="2:7">
      <c r="B21" s="46" t="s">
        <v>81</v>
      </c>
      <c r="D21" s="43">
        <f>D15*D17</f>
        <v>0</v>
      </c>
      <c r="E21" s="33" t="s">
        <v>19</v>
      </c>
    </row>
    <row r="22" spans="2:7">
      <c r="B22" s="33" t="s">
        <v>89</v>
      </c>
      <c r="D22" s="44">
        <f>D15*箱イベ計算!G25</f>
        <v>0</v>
      </c>
      <c r="E22" s="33" t="s">
        <v>19</v>
      </c>
    </row>
    <row r="24" spans="2:7">
      <c r="B24" s="46" t="s">
        <v>50</v>
      </c>
      <c r="D24" s="13">
        <v>40</v>
      </c>
      <c r="E24" s="33" t="s">
        <v>19</v>
      </c>
    </row>
    <row r="25" spans="2:7">
      <c r="B25" s="46" t="s">
        <v>24</v>
      </c>
      <c r="D25" s="13"/>
      <c r="E25" s="33" t="s">
        <v>14</v>
      </c>
    </row>
    <row r="26" spans="2:7">
      <c r="B26" s="46" t="s">
        <v>25</v>
      </c>
      <c r="D26" s="13"/>
      <c r="E26" s="33" t="s">
        <v>14</v>
      </c>
    </row>
    <row r="27" spans="2:7">
      <c r="B27" s="46" t="s">
        <v>26</v>
      </c>
      <c r="D27" s="31"/>
      <c r="E27" s="33" t="s">
        <v>14</v>
      </c>
    </row>
    <row r="28" spans="2:7">
      <c r="B28" s="46" t="s">
        <v>18</v>
      </c>
      <c r="C28" s="45" t="s">
        <v>27</v>
      </c>
      <c r="D28" s="43">
        <f>(D21*2)-(D24*2*8)-(D25*2)-D26-D27</f>
        <v>-640</v>
      </c>
      <c r="E28" s="33" t="s">
        <v>14</v>
      </c>
    </row>
    <row r="34" spans="2:7">
      <c r="B34" s="52" t="s">
        <v>41</v>
      </c>
      <c r="C34" s="53"/>
      <c r="D34" s="53"/>
      <c r="E34" s="53"/>
      <c r="F34" s="53"/>
      <c r="G34" s="53"/>
    </row>
    <row r="35" spans="2:7">
      <c r="B35" s="46"/>
    </row>
    <row r="36" spans="2:7">
      <c r="B36" s="46" t="s">
        <v>42</v>
      </c>
      <c r="D36" s="40">
        <f>MAX(ROUNDDOWN((D22-D21)*2/35,0),0)</f>
        <v>0</v>
      </c>
      <c r="E36" s="33" t="s">
        <v>62</v>
      </c>
    </row>
    <row r="38" spans="2:7">
      <c r="B38" s="46" t="s">
        <v>58</v>
      </c>
      <c r="C38" s="29" t="s">
        <v>186</v>
      </c>
      <c r="D38" s="40">
        <f>箱イベ計算!D35</f>
        <v>0</v>
      </c>
      <c r="E38" s="33" t="s">
        <v>36</v>
      </c>
      <c r="F38" s="47">
        <f>D38*3/1440</f>
        <v>0</v>
      </c>
    </row>
    <row r="39" spans="2:7">
      <c r="C39" s="56"/>
      <c r="D39" s="57"/>
      <c r="E39" s="54"/>
      <c r="F39" s="55"/>
    </row>
    <row r="40" spans="2:7">
      <c r="B40" s="46" t="s">
        <v>57</v>
      </c>
      <c r="D40" s="47">
        <f>(D17+D38)*3/1440</f>
        <v>0</v>
      </c>
    </row>
    <row r="41" spans="2:7">
      <c r="D41" s="48"/>
      <c r="G41" s="58"/>
    </row>
    <row r="42" spans="2:7">
      <c r="B42" s="46" t="s">
        <v>61</v>
      </c>
      <c r="D42" s="49">
        <f>IFERROR(D17*VLOOKUP(D15,箱イベ計算!B1:C6,2,0),)</f>
        <v>0</v>
      </c>
      <c r="E42" s="33" t="s">
        <v>60</v>
      </c>
      <c r="G42" s="59"/>
    </row>
    <row r="43" spans="2:7">
      <c r="G43" s="48"/>
    </row>
    <row r="44" spans="2:7">
      <c r="B44" s="46" t="s">
        <v>91</v>
      </c>
      <c r="D44" s="50">
        <f>イベント開始時!D21*3+ROUNDDOWN(箱イベ計算!D30/100,0)*10</f>
        <v>0</v>
      </c>
      <c r="E44" s="33" t="s">
        <v>14</v>
      </c>
    </row>
    <row r="46" spans="2:7">
      <c r="B46" s="46" t="s">
        <v>92</v>
      </c>
      <c r="D46" s="40">
        <f>ROUNDUP(D3/9,0)</f>
        <v>0</v>
      </c>
      <c r="E46" s="33" t="s">
        <v>11</v>
      </c>
    </row>
  </sheetData>
  <sheetProtection sheet="1" objects="1" scenarios="1"/>
  <phoneticPr fontId="1"/>
  <dataValidations count="4">
    <dataValidation type="whole" operator="lessThan" allowBlank="1" showInputMessage="1" showErrorMessage="1" errorTitle="万単位で入力してください" error="入力できるのは999までです" sqref="D5 D10" xr:uid="{6884CCB6-9D74-7B4F-A700-C44F718AE3BD}">
      <formula1>999</formula1>
    </dataValidation>
    <dataValidation type="whole" operator="greaterThan" allowBlank="1" showInputMessage="1" showErrorMessage="1" errorTitle="整数で入力してください" sqref="D3" xr:uid="{9CD23000-2F85-7440-8473-847FB9251E42}">
      <formula1>0</formula1>
    </dataValidation>
    <dataValidation type="whole" allowBlank="1" showInputMessage="1" showErrorMessage="1" errorTitle="整数で入力してください" sqref="D12 D7" xr:uid="{27F915FB-2031-8943-BF70-03298D2F83D3}">
      <formula1>0</formula1>
      <formula2>500</formula2>
    </dataValidation>
    <dataValidation allowBlank="1" showInputMessage="1" showErrorMessage="1" errorTitle="整数で入力してください" sqref="D8 D13" xr:uid="{E8FB9D5C-DF18-3B49-8E45-DB4FB2090ED9}"/>
  </dataValidations>
  <pageMargins left="0.7" right="0.7" top="0.75" bottom="0.75" header="0.3" footer="0.3"/>
  <pageSetup paperSize="9" scale="59" orientation="portrait" horizontalDpi="0" verticalDpi="0"/>
  <drawing r:id="rId1"/>
  <legacyDrawing r:id="rId2"/>
  <extLst>
    <ext xmlns:x14="http://schemas.microsoft.com/office/spreadsheetml/2009/9/main" uri="{78C0D931-6437-407d-A8EE-F0AAD7539E65}">
      <x14:conditionalFormattings>
        <x14:conditionalFormatting xmlns:xm="http://schemas.microsoft.com/office/excel/2006/main">
          <x14:cfRule type="expression" priority="2" id="{D880F8B0-2D1A-9C49-B1F0-99ED21AF2F88}">
            <xm:f>特効計算!$E$18&gt;7</xm:f>
            <x14:dxf>
              <font>
                <b/>
                <i val="0"/>
                <color rgb="FF9C0006"/>
              </font>
              <fill>
                <patternFill patternType="none">
                  <bgColor auto="1"/>
                </patternFill>
              </fill>
            </x14:dxf>
          </x14:cfRule>
          <xm:sqref>D8:D9</xm:sqref>
        </x14:conditionalFormatting>
        <x14:conditionalFormatting xmlns:xm="http://schemas.microsoft.com/office/excel/2006/main">
          <x14:cfRule type="expression" priority="1" id="{CAF19262-8C7A-7143-89F7-49701003F195}">
            <xm:f>特効計算!$E$40&gt;7</xm:f>
            <x14:dxf>
              <font>
                <b/>
                <i val="0"/>
                <color rgb="FF9C0006"/>
              </font>
              <fill>
                <patternFill patternType="none">
                  <bgColor auto="1"/>
                </patternFill>
              </fill>
            </x14:dxf>
          </x14:cfRule>
          <xm:sqref>D13:D14</xm:sqref>
        </x14:conditionalFormatting>
      </x14:conditionalFormattings>
    </ext>
    <ext xmlns:x14="http://schemas.microsoft.com/office/spreadsheetml/2009/9/main" uri="{CCE6A557-97BC-4b89-ADB6-D9C93CAAB3DF}">
      <x14:dataValidations xmlns:xm="http://schemas.microsoft.com/office/excel/2006/main" count="2">
        <x14:dataValidation type="list" allowBlank="1" showInputMessage="1" showErrorMessage="1" xr:uid="{87D4075E-5F4F-C24F-A8AA-0D7653AF40EF}">
          <x14:formula1>
            <xm:f>箱イベ計算!$B$2:$B$6</xm:f>
          </x14:formula1>
          <xm:sqref>D15</xm:sqref>
        </x14:dataValidation>
        <x14:dataValidation type="list" allowBlank="1" showInputMessage="1" showErrorMessage="1" xr:uid="{50CC9733-5967-A64B-B76A-0F666065959E}">
          <x14:formula1>
            <xm:f>箱イベ計算!$D$1:$D$5</xm:f>
          </x14:formula1>
          <xm:sqref>C38</xm:sqref>
        </x14:dataValidation>
      </x14:dataValidation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2396BBE-794E-3746-9099-EAA3C625AD64}">
  <dimension ref="B1:G36"/>
  <sheetViews>
    <sheetView zoomScaleNormal="100" workbookViewId="0"/>
  </sheetViews>
  <sheetFormatPr baseColWidth="10" defaultRowHeight="20"/>
  <cols>
    <col min="1" max="1" width="10.7109375" style="33"/>
    <col min="2" max="2" width="27.7109375" style="33" customWidth="1"/>
    <col min="3" max="3" width="12.42578125" style="33" customWidth="1"/>
    <col min="4" max="4" width="18.85546875" style="33" customWidth="1"/>
    <col min="5" max="5" width="12.7109375" style="33" customWidth="1"/>
    <col min="6" max="6" width="15.42578125" style="33" customWidth="1"/>
    <col min="7" max="7" width="21.5703125" style="33" customWidth="1"/>
    <col min="8" max="8" width="79.5703125" style="33" customWidth="1"/>
    <col min="9" max="16384" width="10.7109375" style="33"/>
  </cols>
  <sheetData>
    <row r="1" spans="2:6">
      <c r="B1" s="33" t="s">
        <v>77</v>
      </c>
    </row>
    <row r="3" spans="2:6">
      <c r="B3" s="46" t="s">
        <v>10</v>
      </c>
      <c r="D3" s="13"/>
      <c r="E3" s="33" t="s">
        <v>11</v>
      </c>
    </row>
    <row r="5" spans="2:6">
      <c r="B5" s="46" t="s">
        <v>82</v>
      </c>
      <c r="D5" s="13"/>
      <c r="E5" s="33" t="s">
        <v>11</v>
      </c>
    </row>
    <row r="7" spans="2:6">
      <c r="B7" s="46" t="s">
        <v>90</v>
      </c>
      <c r="D7" s="14"/>
      <c r="E7" s="33" t="s">
        <v>53</v>
      </c>
    </row>
    <row r="9" spans="2:6">
      <c r="B9" s="46" t="s">
        <v>1</v>
      </c>
      <c r="D9" s="13"/>
      <c r="E9" s="33" t="s">
        <v>8</v>
      </c>
    </row>
    <row r="10" spans="2:6" ht="21" thickBot="1"/>
    <row r="11" spans="2:6" ht="21" thickBot="1">
      <c r="B11" s="46" t="s">
        <v>22</v>
      </c>
      <c r="D11" s="8"/>
      <c r="E11" s="33" t="s">
        <v>3</v>
      </c>
      <c r="F11" s="33" t="s">
        <v>74</v>
      </c>
    </row>
    <row r="12" spans="2:6">
      <c r="C12" s="33" t="s">
        <v>47</v>
      </c>
      <c r="D12" s="34">
        <f>IF(ISNUMBER(D11)*1,D11/100,特効計算!E19/100)</f>
        <v>0</v>
      </c>
    </row>
    <row r="13" spans="2:6">
      <c r="D13" s="33" t="str">
        <f>IF(特効計算!$E$18&gt;7,"特効編成を見直してください","")</f>
        <v/>
      </c>
    </row>
    <row r="14" spans="2:6">
      <c r="B14" s="46" t="s">
        <v>2</v>
      </c>
      <c r="D14" s="13"/>
      <c r="E14" s="33" t="s">
        <v>8</v>
      </c>
    </row>
    <row r="15" spans="2:6" ht="21" thickBot="1"/>
    <row r="16" spans="2:6" ht="21" thickBot="1">
      <c r="B16" s="46" t="s">
        <v>23</v>
      </c>
      <c r="D16" s="8"/>
      <c r="E16" s="33" t="s">
        <v>3</v>
      </c>
      <c r="F16" s="33" t="s">
        <v>74</v>
      </c>
    </row>
    <row r="17" spans="2:7">
      <c r="C17" s="33" t="s">
        <v>47</v>
      </c>
      <c r="D17" s="34">
        <f>IF(ISNUMBER(D16)*1,D16/100,特効計算!E41/100)</f>
        <v>0</v>
      </c>
    </row>
    <row r="18" spans="2:7">
      <c r="D18" s="33" t="str">
        <f>IF(特効計算!$E$40&gt;7,"特効編成を見直してください","")</f>
        <v/>
      </c>
    </row>
    <row r="19" spans="2:7">
      <c r="B19" s="46" t="s">
        <v>15</v>
      </c>
      <c r="D19" s="13"/>
      <c r="E19" s="33" t="s">
        <v>19</v>
      </c>
    </row>
    <row r="21" spans="2:7">
      <c r="B21" s="46" t="s">
        <v>37</v>
      </c>
      <c r="D21" s="40">
        <f>途中経過計算!D24</f>
        <v>0</v>
      </c>
      <c r="E21" s="33" t="s">
        <v>36</v>
      </c>
    </row>
    <row r="23" spans="2:7">
      <c r="B23" s="46" t="s">
        <v>40</v>
      </c>
      <c r="D23" s="41">
        <f>IFERROR(D21*3/60,)</f>
        <v>0</v>
      </c>
      <c r="E23" s="33" t="s">
        <v>38</v>
      </c>
      <c r="G23" s="42"/>
    </row>
    <row r="24" spans="2:7">
      <c r="G24" s="42"/>
    </row>
    <row r="25" spans="2:7">
      <c r="B25" s="46" t="s">
        <v>88</v>
      </c>
      <c r="D25" s="43">
        <f>D21*D19</f>
        <v>0</v>
      </c>
      <c r="E25" s="33" t="s">
        <v>19</v>
      </c>
    </row>
    <row r="26" spans="2:7">
      <c r="B26" s="33" t="s">
        <v>121</v>
      </c>
      <c r="D26" s="51">
        <f>D25*2</f>
        <v>0</v>
      </c>
      <c r="E26" s="33" t="s">
        <v>14</v>
      </c>
    </row>
    <row r="29" spans="2:7">
      <c r="B29" s="52" t="s">
        <v>41</v>
      </c>
      <c r="C29" s="53"/>
      <c r="D29" s="53"/>
      <c r="E29" s="53"/>
      <c r="F29" s="53"/>
      <c r="G29" s="53"/>
    </row>
    <row r="30" spans="2:7">
      <c r="B30" s="46"/>
    </row>
    <row r="31" spans="2:7">
      <c r="B31" s="46" t="s">
        <v>58</v>
      </c>
      <c r="C31" s="29" t="s">
        <v>186</v>
      </c>
      <c r="D31" s="40">
        <f>途中経過計算!D33</f>
        <v>0</v>
      </c>
      <c r="E31" s="33" t="s">
        <v>36</v>
      </c>
      <c r="F31" s="47">
        <f>D31*3/1440</f>
        <v>0</v>
      </c>
    </row>
    <row r="33" spans="2:7">
      <c r="B33" s="46" t="s">
        <v>93</v>
      </c>
      <c r="D33" s="47">
        <f>(D21+D31)*3/1440</f>
        <v>0</v>
      </c>
    </row>
    <row r="34" spans="2:7">
      <c r="D34" s="48"/>
    </row>
    <row r="35" spans="2:7">
      <c r="B35" s="46" t="s">
        <v>61</v>
      </c>
      <c r="D35" s="49">
        <f>IFERROR(D21*VLOOKUP(D19,箱イベ計算!B1:C6,2,0),)</f>
        <v>0</v>
      </c>
      <c r="E35" s="33" t="s">
        <v>60</v>
      </c>
      <c r="G35" s="48"/>
    </row>
    <row r="36" spans="2:7">
      <c r="G36" s="48"/>
    </row>
  </sheetData>
  <sheetProtection sheet="1" objects="1" scenarios="1"/>
  <phoneticPr fontId="1"/>
  <dataValidations count="4">
    <dataValidation type="whole" allowBlank="1" showInputMessage="1" showErrorMessage="1" errorTitle="整数で入力してください" sqref="D16 D11" xr:uid="{6869AB30-9C9D-864F-8778-624906A6E2F2}">
      <formula1>0</formula1>
      <formula2>500</formula2>
    </dataValidation>
    <dataValidation type="whole" operator="greaterThan" allowBlank="1" showInputMessage="1" showErrorMessage="1" errorTitle="整数で入力してください" sqref="D3 D5 D7" xr:uid="{1A2537E1-9418-224D-9534-22F5F1CFD5A7}">
      <formula1>0</formula1>
    </dataValidation>
    <dataValidation type="whole" operator="lessThan" allowBlank="1" showInputMessage="1" showErrorMessage="1" errorTitle="万単位で入力してください" error="入力できるのは999までです" sqref="D9 D14" xr:uid="{C2E6C2E0-FB6F-0B46-8140-8A0A480C2985}">
      <formula1>999</formula1>
    </dataValidation>
    <dataValidation allowBlank="1" showInputMessage="1" showErrorMessage="1" errorTitle="整数で入力してください" sqref="D12 D17" xr:uid="{CAD6EC5B-5AE5-4748-966E-EBE13F6C4B9F}"/>
  </dataValidations>
  <pageMargins left="0.7" right="0.7" top="0.75" bottom="0.75" header="0.3" footer="0.3"/>
  <pageSetup paperSize="9" scale="59" orientation="portrait" horizontalDpi="0" verticalDpi="0"/>
  <drawing r:id="rId1"/>
  <legacyDrawing r:id="rId2"/>
  <extLst>
    <ext xmlns:x14="http://schemas.microsoft.com/office/spreadsheetml/2009/9/main" uri="{78C0D931-6437-407d-A8EE-F0AAD7539E65}">
      <x14:conditionalFormattings>
        <x14:conditionalFormatting xmlns:xm="http://schemas.microsoft.com/office/excel/2006/main">
          <x14:cfRule type="expression" priority="2" id="{E10FDD6D-9EE8-1F40-B72B-02EB48E7DFC7}">
            <xm:f>特効計算!$E$18&gt;7</xm:f>
            <x14:dxf>
              <font>
                <b/>
                <i val="0"/>
                <color rgb="FFC00000"/>
              </font>
            </x14:dxf>
          </x14:cfRule>
          <xm:sqref>D12:D13 D19</xm:sqref>
        </x14:conditionalFormatting>
        <x14:conditionalFormatting xmlns:xm="http://schemas.microsoft.com/office/excel/2006/main">
          <x14:cfRule type="expression" priority="1" id="{9B399294-1222-094F-9F86-DEBEFE01EA70}">
            <xm:f>特効計算!$E$40&gt;7</xm:f>
            <x14:dxf>
              <font>
                <b/>
                <i val="0"/>
                <color rgb="FF9C0006"/>
              </font>
              <fill>
                <patternFill patternType="none">
                  <bgColor auto="1"/>
                </patternFill>
              </fill>
            </x14:dxf>
          </x14:cfRule>
          <xm:sqref>D17:D18</xm:sqref>
        </x14:conditionalFormatting>
      </x14:conditionalFormattings>
    </ext>
    <ext xmlns:x14="http://schemas.microsoft.com/office/spreadsheetml/2009/9/main" uri="{CCE6A557-97BC-4b89-ADB6-D9C93CAAB3DF}">
      <x14:dataValidations xmlns:xm="http://schemas.microsoft.com/office/excel/2006/main" count="2">
        <x14:dataValidation type="list" allowBlank="1" showInputMessage="1" showErrorMessage="1" xr:uid="{D35D3FC7-1394-B541-9F74-2821CB858D3B}">
          <x14:formula1>
            <xm:f>箱イベ計算!$D$1:$D$5</xm:f>
          </x14:formula1>
          <xm:sqref>C31</xm:sqref>
        </x14:dataValidation>
        <x14:dataValidation type="list" allowBlank="1" showInputMessage="1" showErrorMessage="1" xr:uid="{444EBE7F-283B-F841-9F3B-63D4B64E6E67}">
          <x14:formula1>
            <xm:f>箱イベ計算!$B$2:$B$6</xm:f>
          </x14:formula1>
          <xm:sqref>D19</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6D078EB-CD75-334C-8348-D59D7981BE60}">
  <dimension ref="B2:K10"/>
  <sheetViews>
    <sheetView zoomScaleNormal="100" workbookViewId="0"/>
  </sheetViews>
  <sheetFormatPr baseColWidth="10" defaultRowHeight="20"/>
  <cols>
    <col min="1" max="1" width="10.7109375" style="33"/>
    <col min="2" max="2" width="18.28515625" style="33" customWidth="1"/>
    <col min="3" max="16384" width="10.7109375" style="33"/>
  </cols>
  <sheetData>
    <row r="2" spans="2:11">
      <c r="B2" s="33" t="s">
        <v>107</v>
      </c>
      <c r="C2" s="16"/>
      <c r="D2" s="33" t="s">
        <v>145</v>
      </c>
    </row>
    <row r="3" spans="2:11">
      <c r="K3" s="45" t="s">
        <v>144</v>
      </c>
    </row>
    <row r="4" spans="2:11">
      <c r="B4" s="61"/>
      <c r="C4" s="62">
        <f ca="1">IF(C2="",TODAY(),C2)</f>
        <v>45707</v>
      </c>
      <c r="D4" s="62">
        <f ca="1">C4+1</f>
        <v>45708</v>
      </c>
      <c r="E4" s="62">
        <f t="shared" ref="E4:K4" ca="1" si="0">D4+1</f>
        <v>45709</v>
      </c>
      <c r="F4" s="62">
        <f t="shared" ca="1" si="0"/>
        <v>45710</v>
      </c>
      <c r="G4" s="62">
        <f t="shared" ca="1" si="0"/>
        <v>45711</v>
      </c>
      <c r="H4" s="62">
        <f t="shared" ca="1" si="0"/>
        <v>45712</v>
      </c>
      <c r="I4" s="62">
        <f t="shared" ca="1" si="0"/>
        <v>45713</v>
      </c>
      <c r="J4" s="62">
        <f t="shared" ca="1" si="0"/>
        <v>45714</v>
      </c>
      <c r="K4" s="62">
        <f t="shared" ca="1" si="0"/>
        <v>45715</v>
      </c>
    </row>
    <row r="5" spans="2:11">
      <c r="B5" s="61" t="s">
        <v>106</v>
      </c>
      <c r="C5" s="63">
        <f>イベント開始時!$D$3*1/9</f>
        <v>0</v>
      </c>
      <c r="D5" s="63">
        <f>イベント開始時!$D$3*2/9</f>
        <v>0</v>
      </c>
      <c r="E5" s="63">
        <f>イベント開始時!$D$3*3/9</f>
        <v>0</v>
      </c>
      <c r="F5" s="63">
        <f>イベント開始時!$D$3*4/9</f>
        <v>0</v>
      </c>
      <c r="G5" s="63">
        <f>イベント開始時!$D$3*5/9</f>
        <v>0</v>
      </c>
      <c r="H5" s="63">
        <f>イベント開始時!$D$3*6/9</f>
        <v>0</v>
      </c>
      <c r="I5" s="63">
        <f>イベント開始時!$D$3*7/9</f>
        <v>0</v>
      </c>
      <c r="J5" s="63">
        <f>イベント開始時!$D$3*8/9</f>
        <v>0</v>
      </c>
      <c r="K5" s="63">
        <f>イベント開始時!$D$3*9/9</f>
        <v>0</v>
      </c>
    </row>
    <row r="6" spans="2:11">
      <c r="B6" s="61" t="s">
        <v>149</v>
      </c>
      <c r="C6" s="13"/>
      <c r="D6" s="13"/>
      <c r="E6" s="13"/>
      <c r="F6" s="13"/>
      <c r="G6" s="13"/>
      <c r="H6" s="13"/>
      <c r="I6" s="13"/>
      <c r="J6" s="13"/>
      <c r="K6" s="13"/>
    </row>
    <row r="7" spans="2:11">
      <c r="B7" s="61" t="s">
        <v>150</v>
      </c>
      <c r="C7" s="13"/>
      <c r="D7" s="13"/>
      <c r="E7" s="13"/>
      <c r="F7" s="13"/>
      <c r="G7" s="13"/>
      <c r="H7" s="13"/>
      <c r="I7" s="13"/>
      <c r="J7" s="13"/>
      <c r="K7" s="13"/>
    </row>
    <row r="8" spans="2:11">
      <c r="B8" s="61" t="s">
        <v>151</v>
      </c>
      <c r="C8" s="63" t="e">
        <f>IF(C6="",#N/A,ROUNDDOWN(ROUNDDOWN(C7/100,0)*箱イベ計算!$D$17/10000,0)+イベント進捗!C6)</f>
        <v>#N/A</v>
      </c>
      <c r="D8" s="63" t="e">
        <f>IF(D6="",#N/A,ROUNDDOWN(ROUNDDOWN(D7/100,0)*箱イベ計算!$D$17/10000,0)+イベント進捗!D6)</f>
        <v>#N/A</v>
      </c>
      <c r="E8" s="63" t="e">
        <f>IF(E6="",#N/A,ROUNDDOWN(ROUNDDOWN(E7/100,0)*箱イベ計算!$D$17/10000,0)+イベント進捗!E6)</f>
        <v>#N/A</v>
      </c>
      <c r="F8" s="63" t="e">
        <f>IF(F6="",#N/A,ROUNDDOWN(ROUNDDOWN(F7/100,0)*箱イベ計算!$D$17/10000,0)+イベント進捗!F6)</f>
        <v>#N/A</v>
      </c>
      <c r="G8" s="63" t="e">
        <f>IF(G6="",#N/A,ROUNDDOWN(ROUNDDOWN(G7/100,0)*箱イベ計算!$D$17/10000,0)+イベント進捗!G6)</f>
        <v>#N/A</v>
      </c>
      <c r="H8" s="63" t="e">
        <f>IF(H6="",#N/A,ROUNDDOWN(ROUNDDOWN(H7/100,0)*箱イベ計算!$D$17/10000,0)+イベント進捗!H6)</f>
        <v>#N/A</v>
      </c>
      <c r="I8" s="63" t="e">
        <f>IF(I6="",#N/A,ROUNDDOWN(ROUNDDOWN(I7/100,0)*箱イベ計算!$D$17/10000,0)+イベント進捗!I6)</f>
        <v>#N/A</v>
      </c>
      <c r="J8" s="63" t="e">
        <f>IF(J6="",#N/A,ROUNDDOWN(ROUNDDOWN(J7/100,0)*箱イベ計算!$D$17/10000,0)+イベント進捗!J6)</f>
        <v>#N/A</v>
      </c>
      <c r="K8" s="63" t="e">
        <f>IF(K6="",#N/A,ROUNDDOWN(ROUNDDOWN(K7/100,0)*箱イベ計算!$D$17/10000,0)+イベント進捗!K6)</f>
        <v>#N/A</v>
      </c>
    </row>
    <row r="9" spans="2:11">
      <c r="B9" s="61" t="s">
        <v>178</v>
      </c>
      <c r="C9" s="64" t="str">
        <f>IF(C6&lt;&gt;"",C8-C5,"")</f>
        <v/>
      </c>
      <c r="D9" s="64" t="str">
        <f t="shared" ref="D9:K9" si="1">IF(D6&lt;&gt;"",D8-D5,"")</f>
        <v/>
      </c>
      <c r="E9" s="64" t="str">
        <f t="shared" si="1"/>
        <v/>
      </c>
      <c r="F9" s="64" t="str">
        <f t="shared" si="1"/>
        <v/>
      </c>
      <c r="G9" s="64" t="str">
        <f t="shared" si="1"/>
        <v/>
      </c>
      <c r="H9" s="64" t="str">
        <f t="shared" si="1"/>
        <v/>
      </c>
      <c r="I9" s="64" t="str">
        <f t="shared" si="1"/>
        <v/>
      </c>
      <c r="J9" s="64" t="str">
        <f t="shared" si="1"/>
        <v/>
      </c>
      <c r="K9" s="64" t="str">
        <f t="shared" si="1"/>
        <v/>
      </c>
    </row>
    <row r="10" spans="2:11">
      <c r="B10" s="61" t="s">
        <v>179</v>
      </c>
      <c r="C10" s="64" t="str">
        <f>IF(C6&lt;&gt;"",C8-イベント開始時!$D$3,"")</f>
        <v/>
      </c>
      <c r="D10" s="64" t="str">
        <f>IF(D6&lt;&gt;"",D8-イベント開始時!$D$3,"")</f>
        <v/>
      </c>
      <c r="E10" s="64" t="str">
        <f>IF(E6&lt;&gt;"",E8-イベント開始時!$D$3,"")</f>
        <v/>
      </c>
      <c r="F10" s="64" t="str">
        <f>IF(F6&lt;&gt;"",F8-イベント開始時!$D$3,"")</f>
        <v/>
      </c>
      <c r="G10" s="64" t="str">
        <f>IF(G6&lt;&gt;"",G8-イベント開始時!$D$3,"")</f>
        <v/>
      </c>
      <c r="H10" s="64" t="str">
        <f>IF(H6&lt;&gt;"",H8-イベント開始時!$D$3,"")</f>
        <v/>
      </c>
      <c r="I10" s="64" t="str">
        <f>IF(I6&lt;&gt;"",I8-イベント開始時!$D$3,"")</f>
        <v/>
      </c>
      <c r="J10" s="64" t="str">
        <f>IF(J6&lt;&gt;"",J8-イベント開始時!$D$3,"")</f>
        <v/>
      </c>
      <c r="K10" s="64" t="str">
        <f>IF(K6&lt;&gt;"",K8-イベント開始時!$D$3,"")</f>
        <v/>
      </c>
    </row>
  </sheetData>
  <sheetProtection sheet="1" objects="1" scenarios="1"/>
  <phoneticPr fontId="1"/>
  <conditionalFormatting sqref="C8:K8">
    <cfRule type="containsErrors" dxfId="0" priority="1">
      <formula>ISERROR(C8)</formula>
    </cfRule>
  </conditionalFormatting>
  <dataValidations count="2">
    <dataValidation type="date" imeMode="disabled" allowBlank="1" showInputMessage="1" showErrorMessage="1" errorTitle="イベント開始日を入力してください" sqref="C2" xr:uid="{29166ABA-F786-CB45-93AA-D49EA0FA441C}">
      <formula1>43831</formula1>
      <formula2>73050</formula2>
    </dataValidation>
    <dataValidation imeMode="halfAlpha" allowBlank="1" showInputMessage="1" showErrorMessage="1" sqref="C6:K8" xr:uid="{B50093BA-B29F-2A48-B262-6F79CC0F6F35}"/>
  </dataValidations>
  <pageMargins left="0.7" right="0.7" top="0.75" bottom="0.75" header="0.3" footer="0.3"/>
  <pageSetup paperSize="9" scale="57" orientation="portrait" horizontalDpi="0" verticalDpi="0"/>
  <ignoredErrors>
    <ignoredError sqref="C8:K8" evalError="1"/>
  </ignoredErrors>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231091-FF5E-7C4A-AE8A-21359CB7B0A7}">
  <dimension ref="B2:E39"/>
  <sheetViews>
    <sheetView workbookViewId="0"/>
  </sheetViews>
  <sheetFormatPr baseColWidth="10" defaultRowHeight="20"/>
  <cols>
    <col min="2" max="5" width="15" customWidth="1"/>
  </cols>
  <sheetData>
    <row r="2" spans="2:5">
      <c r="B2" s="7" t="s">
        <v>95</v>
      </c>
    </row>
    <row r="3" spans="2:5">
      <c r="B3" s="4" t="s">
        <v>28</v>
      </c>
      <c r="C3" s="4" t="s">
        <v>31</v>
      </c>
      <c r="D3" s="4" t="s">
        <v>30</v>
      </c>
      <c r="E3" s="4" t="s">
        <v>29</v>
      </c>
    </row>
    <row r="4" spans="2:5">
      <c r="B4" s="2" t="s">
        <v>20</v>
      </c>
      <c r="C4" s="3">
        <v>0.2</v>
      </c>
      <c r="D4" s="3">
        <v>0.05</v>
      </c>
      <c r="E4" s="3">
        <v>0.01</v>
      </c>
    </row>
    <row r="5" spans="2:5">
      <c r="B5" s="2" t="s">
        <v>32</v>
      </c>
      <c r="C5" s="3">
        <v>0.5</v>
      </c>
      <c r="D5" s="3">
        <v>0.15</v>
      </c>
      <c r="E5" s="3">
        <v>0.02</v>
      </c>
    </row>
    <row r="6" spans="2:5">
      <c r="B6" s="2" t="s">
        <v>33</v>
      </c>
      <c r="C6" s="3">
        <v>0.75</v>
      </c>
      <c r="D6" s="3">
        <v>0.25</v>
      </c>
      <c r="E6" s="3">
        <v>0.03</v>
      </c>
    </row>
    <row r="7" spans="2:5">
      <c r="B7" s="2" t="s">
        <v>34</v>
      </c>
      <c r="C7" s="3">
        <v>1</v>
      </c>
      <c r="D7" s="3">
        <v>0.35</v>
      </c>
      <c r="E7" s="3">
        <v>0.04</v>
      </c>
    </row>
    <row r="8" spans="2:5">
      <c r="B8" s="2" t="s">
        <v>21</v>
      </c>
      <c r="C8" s="3">
        <v>1.5</v>
      </c>
      <c r="D8" s="3">
        <v>0.5</v>
      </c>
      <c r="E8" s="3">
        <v>0.05</v>
      </c>
    </row>
    <row r="9" spans="2:5">
      <c r="B9" t="s">
        <v>104</v>
      </c>
    </row>
    <row r="10" spans="2:5">
      <c r="B10" s="1"/>
    </row>
    <row r="12" spans="2:5">
      <c r="B12" s="7" t="s">
        <v>94</v>
      </c>
    </row>
    <row r="13" spans="2:5">
      <c r="B13" s="4" t="s">
        <v>28</v>
      </c>
      <c r="C13" s="4" t="s">
        <v>31</v>
      </c>
      <c r="D13" s="4" t="s">
        <v>30</v>
      </c>
    </row>
    <row r="14" spans="2:5">
      <c r="B14" s="2" t="s">
        <v>20</v>
      </c>
      <c r="C14" s="3">
        <v>0.2</v>
      </c>
      <c r="D14" s="3">
        <v>7.0000000000000007E-2</v>
      </c>
    </row>
    <row r="15" spans="2:5">
      <c r="B15" s="2" t="s">
        <v>32</v>
      </c>
      <c r="C15" s="3">
        <v>0.5</v>
      </c>
      <c r="D15" s="3">
        <v>0.2</v>
      </c>
    </row>
    <row r="16" spans="2:5">
      <c r="B16" s="2" t="s">
        <v>33</v>
      </c>
      <c r="C16" s="3">
        <v>0.75</v>
      </c>
      <c r="D16" s="3">
        <v>0.3</v>
      </c>
    </row>
    <row r="17" spans="2:5">
      <c r="B17" s="2" t="s">
        <v>34</v>
      </c>
      <c r="C17" s="3">
        <v>1</v>
      </c>
      <c r="D17" s="3">
        <v>0.45</v>
      </c>
    </row>
    <row r="18" spans="2:5">
      <c r="B18" s="2" t="s">
        <v>21</v>
      </c>
      <c r="C18" s="3">
        <v>1.5</v>
      </c>
      <c r="D18" s="3">
        <v>0.6</v>
      </c>
    </row>
    <row r="19" spans="2:5">
      <c r="B19" t="s">
        <v>105</v>
      </c>
    </row>
    <row r="20" spans="2:5">
      <c r="B20" s="1"/>
    </row>
    <row r="22" spans="2:5">
      <c r="B22" s="7" t="s">
        <v>147</v>
      </c>
    </row>
    <row r="23" spans="2:5">
      <c r="B23" s="4" t="s">
        <v>35</v>
      </c>
      <c r="C23" s="4" t="s">
        <v>31</v>
      </c>
      <c r="D23" s="4" t="s">
        <v>30</v>
      </c>
      <c r="E23" s="4" t="s">
        <v>29</v>
      </c>
    </row>
    <row r="24" spans="2:5">
      <c r="B24" s="2" t="s">
        <v>20</v>
      </c>
      <c r="C24" s="3">
        <v>0.2</v>
      </c>
      <c r="D24" s="3">
        <v>0.04</v>
      </c>
      <c r="E24" s="3">
        <v>0.01</v>
      </c>
    </row>
    <row r="25" spans="2:5">
      <c r="B25" s="2" t="s">
        <v>32</v>
      </c>
      <c r="C25" s="3">
        <v>0.5</v>
      </c>
      <c r="D25" s="3">
        <v>0.11</v>
      </c>
      <c r="E25" s="3">
        <v>0.02</v>
      </c>
    </row>
    <row r="26" spans="2:5">
      <c r="B26" s="2" t="s">
        <v>33</v>
      </c>
      <c r="C26" s="3">
        <v>0.75</v>
      </c>
      <c r="D26" s="3">
        <v>0.18</v>
      </c>
      <c r="E26" s="3">
        <v>0.03</v>
      </c>
    </row>
    <row r="27" spans="2:5">
      <c r="B27" s="2" t="s">
        <v>34</v>
      </c>
      <c r="C27" s="3">
        <v>1</v>
      </c>
      <c r="D27" s="3">
        <v>0.25</v>
      </c>
      <c r="E27" s="3">
        <v>0.04</v>
      </c>
    </row>
    <row r="28" spans="2:5">
      <c r="B28" s="2" t="s">
        <v>21</v>
      </c>
      <c r="C28" s="3">
        <v>1.5</v>
      </c>
      <c r="D28" s="3">
        <v>0.35</v>
      </c>
      <c r="E28" s="3">
        <v>0.05</v>
      </c>
    </row>
    <row r="29" spans="2:5">
      <c r="B29" t="s">
        <v>146</v>
      </c>
    </row>
    <row r="32" spans="2:5">
      <c r="B32" s="7" t="s">
        <v>103</v>
      </c>
    </row>
    <row r="33" spans="2:4">
      <c r="B33" s="4" t="s">
        <v>35</v>
      </c>
      <c r="C33" s="4" t="s">
        <v>31</v>
      </c>
      <c r="D33" s="4" t="s">
        <v>30</v>
      </c>
    </row>
    <row r="34" spans="2:4">
      <c r="B34" s="2" t="s">
        <v>20</v>
      </c>
      <c r="C34" s="3">
        <v>0.15</v>
      </c>
      <c r="D34" s="3">
        <v>0.04</v>
      </c>
    </row>
    <row r="35" spans="2:4">
      <c r="B35" s="2" t="s">
        <v>32</v>
      </c>
      <c r="C35" s="3">
        <v>0.35</v>
      </c>
      <c r="D35" s="3">
        <v>0.11</v>
      </c>
    </row>
    <row r="36" spans="2:4">
      <c r="B36" s="2" t="s">
        <v>33</v>
      </c>
      <c r="C36" s="3">
        <v>0.5</v>
      </c>
      <c r="D36" s="3">
        <v>0.18</v>
      </c>
    </row>
    <row r="37" spans="2:4">
      <c r="B37" s="2" t="s">
        <v>34</v>
      </c>
      <c r="C37" s="3">
        <v>0.7</v>
      </c>
      <c r="D37" s="3">
        <v>0.25</v>
      </c>
    </row>
    <row r="38" spans="2:4">
      <c r="B38" s="2" t="s">
        <v>21</v>
      </c>
      <c r="C38" s="3">
        <v>1</v>
      </c>
      <c r="D38" s="3">
        <v>0.35</v>
      </c>
    </row>
    <row r="39" spans="2:4">
      <c r="B39" t="s">
        <v>180</v>
      </c>
    </row>
  </sheetData>
  <phoneticPr fontId="1"/>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F91DE8-B047-A547-8DB9-34C93949705D}">
  <dimension ref="A4:K32"/>
  <sheetViews>
    <sheetView workbookViewId="0">
      <selection activeCell="F31" sqref="F31"/>
    </sheetView>
  </sheetViews>
  <sheetFormatPr baseColWidth="10" defaultRowHeight="20"/>
  <cols>
    <col min="1" max="1" width="19.85546875" customWidth="1"/>
    <col min="2" max="11" width="8.7109375" customWidth="1"/>
  </cols>
  <sheetData>
    <row r="4" spans="1:11">
      <c r="A4" t="s">
        <v>95</v>
      </c>
      <c r="B4" t="s">
        <v>43</v>
      </c>
      <c r="C4" t="s">
        <v>44</v>
      </c>
      <c r="D4" t="s">
        <v>45</v>
      </c>
      <c r="E4" t="s">
        <v>45</v>
      </c>
      <c r="F4" t="s">
        <v>45</v>
      </c>
      <c r="H4">
        <f>MATCH(A4,$A$9:$K$9,0)</f>
        <v>2</v>
      </c>
    </row>
    <row r="5" spans="1:11">
      <c r="A5" t="s">
        <v>94</v>
      </c>
      <c r="B5" t="s">
        <v>43</v>
      </c>
      <c r="C5" t="s">
        <v>44</v>
      </c>
      <c r="H5">
        <f t="shared" ref="H5:H7" si="0">MATCH(A5,$A$9:$K$9,0)</f>
        <v>5</v>
      </c>
    </row>
    <row r="6" spans="1:11">
      <c r="A6" t="s">
        <v>98</v>
      </c>
      <c r="B6" t="s">
        <v>43</v>
      </c>
      <c r="C6" t="s">
        <v>44</v>
      </c>
      <c r="D6" t="s">
        <v>44</v>
      </c>
      <c r="E6" t="s">
        <v>45</v>
      </c>
      <c r="H6">
        <f t="shared" si="0"/>
        <v>7</v>
      </c>
    </row>
    <row r="7" spans="1:11">
      <c r="A7" t="s">
        <v>99</v>
      </c>
      <c r="B7" t="s">
        <v>43</v>
      </c>
      <c r="C7" t="s">
        <v>43</v>
      </c>
      <c r="D7" t="s">
        <v>44</v>
      </c>
      <c r="E7" t="s">
        <v>44</v>
      </c>
      <c r="H7">
        <f t="shared" si="0"/>
        <v>10</v>
      </c>
    </row>
    <row r="9" spans="1:11">
      <c r="B9" s="10" t="s">
        <v>95</v>
      </c>
      <c r="C9" s="10"/>
      <c r="D9" s="10"/>
      <c r="E9" s="10" t="s">
        <v>94</v>
      </c>
      <c r="F9" s="10"/>
      <c r="G9" s="10" t="s">
        <v>100</v>
      </c>
      <c r="H9" s="10"/>
      <c r="I9" s="10"/>
      <c r="J9" s="10" t="s">
        <v>101</v>
      </c>
      <c r="K9" s="10"/>
    </row>
    <row r="10" spans="1:11">
      <c r="B10" t="s">
        <v>43</v>
      </c>
      <c r="C10" t="s">
        <v>44</v>
      </c>
      <c r="D10" t="s">
        <v>45</v>
      </c>
      <c r="E10" t="s">
        <v>43</v>
      </c>
      <c r="F10" t="s">
        <v>44</v>
      </c>
      <c r="G10" t="s">
        <v>43</v>
      </c>
      <c r="H10" t="s">
        <v>44</v>
      </c>
      <c r="I10" t="s">
        <v>45</v>
      </c>
      <c r="J10" t="s">
        <v>43</v>
      </c>
      <c r="K10" t="s">
        <v>44</v>
      </c>
    </row>
    <row r="11" spans="1:11">
      <c r="A11">
        <v>0</v>
      </c>
      <c r="B11" s="6">
        <v>0</v>
      </c>
      <c r="C11" s="6">
        <v>0</v>
      </c>
      <c r="D11" s="6">
        <v>0</v>
      </c>
      <c r="E11" s="6">
        <v>0</v>
      </c>
      <c r="F11" s="6">
        <v>0</v>
      </c>
      <c r="G11" s="6">
        <v>0</v>
      </c>
      <c r="H11" s="6">
        <v>0</v>
      </c>
      <c r="I11" s="6">
        <v>0</v>
      </c>
      <c r="J11" s="6">
        <v>0</v>
      </c>
      <c r="K11" s="6">
        <v>0</v>
      </c>
    </row>
    <row r="12" spans="1:11">
      <c r="A12">
        <v>1</v>
      </c>
      <c r="B12" s="6">
        <v>0.2</v>
      </c>
      <c r="C12" s="6">
        <v>0.05</v>
      </c>
      <c r="D12" s="6">
        <v>0.01</v>
      </c>
      <c r="E12" s="6">
        <v>0.2</v>
      </c>
      <c r="F12" s="6">
        <v>7.0000000000000007E-2</v>
      </c>
      <c r="G12" s="6">
        <v>0.2</v>
      </c>
      <c r="H12" s="6">
        <v>0.04</v>
      </c>
      <c r="I12" s="6">
        <v>0.01</v>
      </c>
      <c r="J12" s="6">
        <v>0.15</v>
      </c>
      <c r="K12" s="6">
        <v>0.04</v>
      </c>
    </row>
    <row r="13" spans="1:11">
      <c r="A13">
        <v>2</v>
      </c>
      <c r="B13" s="6">
        <v>0.5</v>
      </c>
      <c r="C13" s="6">
        <v>0.15</v>
      </c>
      <c r="D13" s="6">
        <v>0.02</v>
      </c>
      <c r="E13" s="6">
        <v>0.5</v>
      </c>
      <c r="F13" s="6">
        <v>0.2</v>
      </c>
      <c r="G13" s="6">
        <v>0.5</v>
      </c>
      <c r="H13" s="6">
        <v>0.11</v>
      </c>
      <c r="I13" s="6">
        <v>0.02</v>
      </c>
      <c r="J13" s="6">
        <v>0.35</v>
      </c>
      <c r="K13" s="6">
        <v>0.11</v>
      </c>
    </row>
    <row r="14" spans="1:11">
      <c r="A14">
        <v>3</v>
      </c>
      <c r="B14" s="6">
        <v>0.75</v>
      </c>
      <c r="C14" s="6">
        <v>0.25</v>
      </c>
      <c r="D14" s="6">
        <v>0.03</v>
      </c>
      <c r="E14" s="6">
        <v>0.75</v>
      </c>
      <c r="F14" s="6">
        <v>0.3</v>
      </c>
      <c r="G14" s="6">
        <v>0.75</v>
      </c>
      <c r="H14" s="6">
        <v>0.18</v>
      </c>
      <c r="I14" s="6">
        <v>0.03</v>
      </c>
      <c r="J14" s="6">
        <v>0.5</v>
      </c>
      <c r="K14" s="6">
        <v>0.18</v>
      </c>
    </row>
    <row r="15" spans="1:11">
      <c r="A15">
        <v>4</v>
      </c>
      <c r="B15" s="6">
        <v>1</v>
      </c>
      <c r="C15" s="6">
        <v>0.35</v>
      </c>
      <c r="D15" s="6">
        <v>0.04</v>
      </c>
      <c r="E15" s="6">
        <v>1</v>
      </c>
      <c r="F15" s="6">
        <v>0.45</v>
      </c>
      <c r="G15" s="6">
        <v>1</v>
      </c>
      <c r="H15" s="6">
        <v>0.25</v>
      </c>
      <c r="I15" s="6">
        <v>0.04</v>
      </c>
      <c r="J15" s="6">
        <v>0.7</v>
      </c>
      <c r="K15" s="6">
        <v>0.25</v>
      </c>
    </row>
    <row r="16" spans="1:11">
      <c r="A16">
        <v>5</v>
      </c>
      <c r="B16" s="6">
        <v>1.5</v>
      </c>
      <c r="C16" s="6">
        <v>0.5</v>
      </c>
      <c r="D16" s="6">
        <v>0.05</v>
      </c>
      <c r="E16" s="6">
        <v>1.5</v>
      </c>
      <c r="F16" s="6">
        <v>0.6</v>
      </c>
      <c r="G16" s="6">
        <v>1.5</v>
      </c>
      <c r="H16" s="6">
        <v>0.35</v>
      </c>
      <c r="I16" s="6">
        <v>0.05</v>
      </c>
      <c r="J16" s="6">
        <v>1</v>
      </c>
      <c r="K16" s="6">
        <v>0.35</v>
      </c>
    </row>
    <row r="18" spans="1:11">
      <c r="A18" t="s">
        <v>43</v>
      </c>
      <c r="B18" s="11">
        <v>0</v>
      </c>
      <c r="C18" s="11"/>
      <c r="D18" s="11"/>
      <c r="E18" s="11"/>
      <c r="F18" s="11"/>
      <c r="G18" s="11"/>
      <c r="H18" s="11"/>
      <c r="I18" s="11"/>
      <c r="J18" s="11"/>
      <c r="K18" s="11"/>
    </row>
    <row r="19" spans="1:11">
      <c r="A19" t="s">
        <v>44</v>
      </c>
      <c r="B19" s="11">
        <v>1</v>
      </c>
      <c r="C19" s="11"/>
      <c r="D19" s="11"/>
      <c r="E19" s="11"/>
      <c r="F19" s="11"/>
      <c r="G19" s="11"/>
      <c r="H19" s="11"/>
      <c r="I19" s="11"/>
      <c r="J19" s="11"/>
      <c r="K19" s="11"/>
    </row>
    <row r="20" spans="1:11">
      <c r="A20" t="s">
        <v>45</v>
      </c>
      <c r="B20" s="11">
        <v>2</v>
      </c>
      <c r="C20" s="11"/>
      <c r="D20" s="11"/>
      <c r="E20" s="11"/>
      <c r="F20" s="11"/>
      <c r="G20" s="11"/>
      <c r="H20" s="11"/>
      <c r="I20" s="11"/>
      <c r="J20" s="11"/>
      <c r="K20" s="11"/>
    </row>
    <row r="21" spans="1:11">
      <c r="B21" s="11"/>
      <c r="C21" s="11"/>
      <c r="D21" s="11"/>
      <c r="E21" s="11"/>
      <c r="F21" s="11"/>
      <c r="G21" s="11"/>
      <c r="H21" s="11"/>
      <c r="I21" s="11"/>
      <c r="J21" s="11"/>
      <c r="K21" s="11"/>
    </row>
    <row r="22" spans="1:11">
      <c r="B22" s="11"/>
      <c r="C22" s="11"/>
      <c r="D22" s="11"/>
      <c r="E22" s="11"/>
      <c r="F22" s="11"/>
      <c r="G22" s="11"/>
      <c r="H22" s="11"/>
      <c r="I22" s="11"/>
      <c r="J22" s="11"/>
      <c r="K22" s="11"/>
    </row>
    <row r="23" spans="1:11">
      <c r="B23" s="11"/>
      <c r="C23" s="11"/>
      <c r="D23" s="11"/>
      <c r="E23" s="11"/>
      <c r="F23" s="11"/>
      <c r="G23" s="11"/>
      <c r="H23" s="11"/>
      <c r="I23" s="11"/>
      <c r="J23" s="11"/>
      <c r="K23" s="11"/>
    </row>
    <row r="24" spans="1:11">
      <c r="B24" s="11"/>
      <c r="C24" s="11"/>
      <c r="D24" s="11"/>
      <c r="E24" s="11"/>
      <c r="F24" s="11"/>
      <c r="G24" s="11"/>
      <c r="H24" s="11"/>
      <c r="I24" s="11"/>
      <c r="J24" s="11"/>
      <c r="K24" s="11"/>
    </row>
    <row r="25" spans="1:11">
      <c r="B25" s="11"/>
      <c r="C25" s="11"/>
      <c r="D25" s="11"/>
      <c r="E25" s="11"/>
      <c r="F25" s="11"/>
      <c r="G25" s="11"/>
      <c r="H25" s="11"/>
      <c r="I25" s="11"/>
      <c r="J25" s="11"/>
      <c r="K25" s="11"/>
    </row>
    <row r="26" spans="1:11">
      <c r="B26" s="11"/>
      <c r="C26" s="11"/>
      <c r="D26" s="11"/>
      <c r="E26" s="11"/>
      <c r="F26" s="11"/>
      <c r="G26" s="11"/>
      <c r="H26" s="11"/>
      <c r="I26" s="11"/>
      <c r="J26" s="11"/>
      <c r="K26" s="11"/>
    </row>
    <row r="27" spans="1:11">
      <c r="B27" s="11"/>
      <c r="C27" s="11"/>
      <c r="D27" s="11"/>
      <c r="E27" s="11"/>
      <c r="F27" s="11"/>
      <c r="G27" s="11"/>
      <c r="H27" s="11"/>
      <c r="I27" s="11"/>
      <c r="J27" s="11"/>
      <c r="K27" s="11"/>
    </row>
    <row r="28" spans="1:11">
      <c r="B28" s="11"/>
      <c r="C28" s="11"/>
      <c r="D28" s="11"/>
      <c r="E28" s="11"/>
      <c r="F28" s="11"/>
      <c r="G28" s="11"/>
      <c r="H28" s="11"/>
      <c r="I28" s="11"/>
      <c r="J28" s="11"/>
      <c r="K28" s="11"/>
    </row>
    <row r="29" spans="1:11">
      <c r="B29" s="11"/>
      <c r="C29" s="11"/>
      <c r="D29" s="11"/>
      <c r="E29" s="11"/>
      <c r="F29" s="11"/>
      <c r="G29" s="11"/>
      <c r="H29" s="11"/>
      <c r="I29" s="11"/>
      <c r="J29" s="11"/>
      <c r="K29" s="11"/>
    </row>
    <row r="30" spans="1:11">
      <c r="B30" s="11"/>
      <c r="C30" s="11"/>
      <c r="D30" s="11"/>
      <c r="E30" s="11"/>
      <c r="F30" s="11"/>
      <c r="G30" s="11"/>
      <c r="H30" s="11"/>
      <c r="I30" s="11"/>
      <c r="J30" s="11"/>
      <c r="K30" s="11"/>
    </row>
    <row r="31" spans="1:11">
      <c r="B31" s="11"/>
      <c r="C31" s="11"/>
      <c r="D31" s="11"/>
      <c r="E31" s="11"/>
      <c r="F31" s="11"/>
      <c r="G31" s="11"/>
      <c r="H31" s="11"/>
      <c r="I31" s="11"/>
      <c r="J31" s="11"/>
      <c r="K31" s="11"/>
    </row>
    <row r="32" spans="1:11">
      <c r="B32" s="11"/>
      <c r="C32" s="11"/>
      <c r="D32" s="11"/>
      <c r="E32" s="11"/>
      <c r="F32" s="11"/>
      <c r="G32" s="11"/>
      <c r="H32" s="11"/>
      <c r="I32" s="11"/>
      <c r="J32" s="11"/>
      <c r="K32" s="11"/>
    </row>
  </sheetData>
  <phoneticPr fontId="1"/>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716599A-B10D-0D42-B283-117319B32D51}">
  <dimension ref="A1:H35"/>
  <sheetViews>
    <sheetView topLeftCell="A7" workbookViewId="0"/>
  </sheetViews>
  <sheetFormatPr baseColWidth="10" defaultRowHeight="20"/>
  <cols>
    <col min="1" max="1" width="23" customWidth="1"/>
    <col min="2" max="4" width="17.42578125" customWidth="1"/>
    <col min="5" max="5" width="13.7109375" customWidth="1"/>
    <col min="6" max="7" width="17.42578125" customWidth="1"/>
  </cols>
  <sheetData>
    <row r="1" spans="1:8">
      <c r="B1" t="s">
        <v>15</v>
      </c>
      <c r="C1" t="s">
        <v>59</v>
      </c>
      <c r="D1" t="s">
        <v>17</v>
      </c>
    </row>
    <row r="2" spans="1:8">
      <c r="B2">
        <v>1</v>
      </c>
      <c r="C2">
        <v>10</v>
      </c>
      <c r="D2" s="5">
        <v>100</v>
      </c>
    </row>
    <row r="3" spans="1:8">
      <c r="B3">
        <v>2</v>
      </c>
      <c r="C3">
        <v>16</v>
      </c>
      <c r="D3" s="5">
        <v>500</v>
      </c>
    </row>
    <row r="4" spans="1:8">
      <c r="B4">
        <v>3</v>
      </c>
      <c r="C4">
        <v>20</v>
      </c>
      <c r="D4" s="5">
        <v>1000</v>
      </c>
    </row>
    <row r="5" spans="1:8">
      <c r="B5">
        <v>6</v>
      </c>
      <c r="C5">
        <v>30</v>
      </c>
      <c r="D5" s="5">
        <v>2000</v>
      </c>
    </row>
    <row r="6" spans="1:8">
      <c r="B6">
        <v>10</v>
      </c>
      <c r="C6">
        <v>40</v>
      </c>
    </row>
    <row r="8" spans="1:8">
      <c r="G8" t="s">
        <v>182</v>
      </c>
    </row>
    <row r="9" spans="1:8">
      <c r="A9" t="s">
        <v>0</v>
      </c>
      <c r="B9" t="s">
        <v>4</v>
      </c>
      <c r="D9" s="5">
        <f>ROUNDDOWN(イベント開始時!D5*10000*0.02%,0)</f>
        <v>0</v>
      </c>
      <c r="E9" t="s">
        <v>54</v>
      </c>
      <c r="G9" s="5"/>
    </row>
    <row r="10" spans="1:8">
      <c r="B10" t="s">
        <v>5</v>
      </c>
      <c r="D10" s="5">
        <f>2000+D9</f>
        <v>2000</v>
      </c>
      <c r="E10" t="s">
        <v>54</v>
      </c>
      <c r="G10" s="5"/>
    </row>
    <row r="11" spans="1:8">
      <c r="B11" t="s">
        <v>148</v>
      </c>
      <c r="D11" s="30">
        <f>D10*(1+イベント開始時!D8)</f>
        <v>2000</v>
      </c>
      <c r="E11" t="s">
        <v>54</v>
      </c>
      <c r="G11" s="5">
        <f>D10</f>
        <v>2000</v>
      </c>
      <c r="H11" t="s">
        <v>54</v>
      </c>
    </row>
    <row r="12" spans="1:8">
      <c r="D12" s="5"/>
      <c r="G12" s="5"/>
    </row>
    <row r="13" spans="1:8">
      <c r="B13" t="s">
        <v>6</v>
      </c>
      <c r="D13" s="30">
        <f>D11*10</f>
        <v>20000</v>
      </c>
      <c r="E13" t="s">
        <v>54</v>
      </c>
      <c r="G13" s="5">
        <f>G11*10</f>
        <v>20000</v>
      </c>
      <c r="H13" t="s">
        <v>54</v>
      </c>
    </row>
    <row r="14" spans="1:8">
      <c r="D14" s="5"/>
      <c r="G14" s="5"/>
    </row>
    <row r="15" spans="1:8">
      <c r="A15" t="s">
        <v>7</v>
      </c>
      <c r="B15" t="s">
        <v>4</v>
      </c>
      <c r="D15" s="5">
        <f>ROUNDDOWN(イベント開始時!D10*10000*0.02%,0)</f>
        <v>0</v>
      </c>
      <c r="E15" t="s">
        <v>54</v>
      </c>
      <c r="G15" s="5"/>
    </row>
    <row r="16" spans="1:8">
      <c r="B16" t="s">
        <v>9</v>
      </c>
      <c r="D16" s="5">
        <f>10000+D15</f>
        <v>10000</v>
      </c>
      <c r="E16" t="s">
        <v>54</v>
      </c>
      <c r="G16" s="5"/>
    </row>
    <row r="17" spans="1:8">
      <c r="B17" t="s">
        <v>148</v>
      </c>
      <c r="D17" s="30">
        <f>D16*(1+イベント開始時!D13)</f>
        <v>10000</v>
      </c>
      <c r="E17" t="s">
        <v>54</v>
      </c>
      <c r="G17" s="5">
        <f>D16</f>
        <v>10000</v>
      </c>
      <c r="H17" t="s">
        <v>54</v>
      </c>
    </row>
    <row r="18" spans="1:8">
      <c r="D18" s="5"/>
      <c r="G18" s="5"/>
    </row>
    <row r="19" spans="1:8">
      <c r="B19" t="s">
        <v>12</v>
      </c>
      <c r="D19" s="30">
        <f>D13+D17</f>
        <v>30000</v>
      </c>
      <c r="E19" t="s">
        <v>54</v>
      </c>
      <c r="G19" s="5">
        <f>G13+G17</f>
        <v>30000</v>
      </c>
      <c r="H19" t="s">
        <v>54</v>
      </c>
    </row>
    <row r="20" spans="1:8">
      <c r="D20" s="5"/>
      <c r="G20" s="5"/>
    </row>
    <row r="21" spans="1:8">
      <c r="B21" t="s">
        <v>13</v>
      </c>
      <c r="D21" s="30">
        <f>ROUNDDOWN(D19/10,0)</f>
        <v>3000</v>
      </c>
      <c r="E21" t="s">
        <v>54</v>
      </c>
      <c r="G21" s="5">
        <f>G19/10</f>
        <v>3000</v>
      </c>
      <c r="H21" t="s">
        <v>54</v>
      </c>
    </row>
    <row r="22" spans="1:8">
      <c r="D22" s="5"/>
      <c r="G22" s="5"/>
    </row>
    <row r="23" spans="1:8">
      <c r="B23" t="s">
        <v>39</v>
      </c>
      <c r="D23" s="30">
        <f>D21*イベント開始時!D15</f>
        <v>0</v>
      </c>
      <c r="E23" t="s">
        <v>54</v>
      </c>
      <c r="G23" s="5">
        <f>G21*イベント開始時!D15</f>
        <v>0</v>
      </c>
      <c r="H23" t="s">
        <v>54</v>
      </c>
    </row>
    <row r="24" spans="1:8">
      <c r="D24" s="5"/>
      <c r="G24" s="5"/>
    </row>
    <row r="25" spans="1:8">
      <c r="A25" t="s">
        <v>183</v>
      </c>
      <c r="D25" s="30">
        <f>IFERROR(ROUNDUP(イベント開始時!D3*10000/箱イベ計算!D23,0),)</f>
        <v>0</v>
      </c>
      <c r="E25" t="s">
        <v>184</v>
      </c>
      <c r="G25" s="5">
        <f>IFERROR(ROUNDUP(イベント開始時!D3*10000/箱イベ計算!G23,0),)</f>
        <v>0</v>
      </c>
      <c r="H25" t="s">
        <v>184</v>
      </c>
    </row>
    <row r="26" spans="1:8">
      <c r="D26" s="5"/>
      <c r="G26" s="5"/>
    </row>
    <row r="27" spans="1:8">
      <c r="A27" t="s">
        <v>185</v>
      </c>
      <c r="D27" s="30">
        <f>D25*2</f>
        <v>0</v>
      </c>
      <c r="E27" t="s">
        <v>19</v>
      </c>
      <c r="G27" s="5">
        <f>G25*2</f>
        <v>0</v>
      </c>
      <c r="H27" t="s">
        <v>19</v>
      </c>
    </row>
    <row r="28" spans="1:8">
      <c r="D28" s="5"/>
      <c r="G28" s="5"/>
    </row>
    <row r="29" spans="1:8">
      <c r="D29" s="5"/>
      <c r="G29" s="5"/>
    </row>
    <row r="30" spans="1:8">
      <c r="A30" t="s">
        <v>52</v>
      </c>
      <c r="B30" t="s">
        <v>191</v>
      </c>
      <c r="D30" s="30">
        <f>イベント開始時!D21*10</f>
        <v>0</v>
      </c>
      <c r="E30" t="s">
        <v>53</v>
      </c>
      <c r="G30" s="5"/>
    </row>
    <row r="31" spans="1:8">
      <c r="B31" t="s">
        <v>55</v>
      </c>
      <c r="C31">
        <v>2000</v>
      </c>
      <c r="D31" s="5">
        <f>IF(イベント開始時!C38=2000,ROUNDDOWN(D30/2000,0),)</f>
        <v>0</v>
      </c>
      <c r="E31" t="s">
        <v>36</v>
      </c>
      <c r="F31" t="s">
        <v>56</v>
      </c>
      <c r="G31" s="5">
        <f>D30-(C31*D31)</f>
        <v>0</v>
      </c>
      <c r="H31" t="s">
        <v>53</v>
      </c>
    </row>
    <row r="32" spans="1:8">
      <c r="C32">
        <v>1000</v>
      </c>
      <c r="D32" s="5">
        <f>IF(OR(D31&gt;1,イベント開始時!C38=1000),ROUNDDOWN(G31/1000,0),)</f>
        <v>0</v>
      </c>
      <c r="E32" t="s">
        <v>36</v>
      </c>
      <c r="G32" s="5">
        <f>G31-(C32*D32)</f>
        <v>0</v>
      </c>
      <c r="H32" t="s">
        <v>53</v>
      </c>
    </row>
    <row r="33" spans="3:8">
      <c r="C33">
        <v>500</v>
      </c>
      <c r="D33" s="5">
        <f>IF(OR(D31&gt;1,D32&gt;1,イベント開始時!C38=500),ROUNDDOWN(G32/500,0),)</f>
        <v>0</v>
      </c>
      <c r="E33" t="s">
        <v>36</v>
      </c>
      <c r="G33" s="5">
        <f>G32-(C33*D33)</f>
        <v>0</v>
      </c>
      <c r="H33" t="s">
        <v>53</v>
      </c>
    </row>
    <row r="34" spans="3:8">
      <c r="C34">
        <v>100</v>
      </c>
      <c r="D34" s="5">
        <f>ROUNDDOWN(G33/100,0)</f>
        <v>0</v>
      </c>
      <c r="E34" t="s">
        <v>36</v>
      </c>
      <c r="G34" s="5">
        <f>G33-(C34*D34)</f>
        <v>0</v>
      </c>
      <c r="H34" t="s">
        <v>190</v>
      </c>
    </row>
    <row r="35" spans="3:8">
      <c r="C35" t="s">
        <v>46</v>
      </c>
      <c r="D35" s="30">
        <f>SUM(D31:D34)</f>
        <v>0</v>
      </c>
      <c r="E35" t="s">
        <v>36</v>
      </c>
      <c r="G35" s="5"/>
    </row>
  </sheetData>
  <phoneticPr fontId="1"/>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E06C6DA-F0C0-484D-AEDB-D4C006C6C0F3}">
  <dimension ref="A3:H42"/>
  <sheetViews>
    <sheetView topLeftCell="A5" workbookViewId="0"/>
  </sheetViews>
  <sheetFormatPr baseColWidth="10" defaultRowHeight="20"/>
  <cols>
    <col min="1" max="1" width="23" customWidth="1"/>
    <col min="2" max="4" width="17.42578125" customWidth="1"/>
    <col min="5" max="5" width="13.7109375" customWidth="1"/>
    <col min="6" max="7" width="17.42578125" customWidth="1"/>
  </cols>
  <sheetData>
    <row r="3" spans="1:5">
      <c r="A3" t="s">
        <v>86</v>
      </c>
      <c r="D3" s="5">
        <f>(途中経過用!D3-途中経過用!D5)*10000</f>
        <v>0</v>
      </c>
      <c r="E3" t="s">
        <v>54</v>
      </c>
    </row>
    <row r="4" spans="1:5">
      <c r="A4" t="s">
        <v>85</v>
      </c>
      <c r="D4" s="5">
        <f>ROUNDDOWN(途中経過用!D7/100,0)*途中経過計算!D15</f>
        <v>0</v>
      </c>
      <c r="E4" t="s">
        <v>54</v>
      </c>
    </row>
    <row r="5" spans="1:5">
      <c r="A5" t="s">
        <v>87</v>
      </c>
      <c r="D5" s="30">
        <f>D3-D4</f>
        <v>0</v>
      </c>
      <c r="E5" t="s">
        <v>54</v>
      </c>
    </row>
    <row r="6" spans="1:5">
      <c r="D6" s="5"/>
    </row>
    <row r="7" spans="1:5">
      <c r="A7" t="s">
        <v>0</v>
      </c>
      <c r="B7" t="s">
        <v>4</v>
      </c>
      <c r="D7" s="5">
        <f>ROUNDDOWN(途中経過用!D9*10000*0.02%,0)</f>
        <v>0</v>
      </c>
      <c r="E7" t="s">
        <v>54</v>
      </c>
    </row>
    <row r="8" spans="1:5">
      <c r="B8" t="s">
        <v>5</v>
      </c>
      <c r="D8" s="5">
        <f>2000+D7</f>
        <v>2000</v>
      </c>
      <c r="E8" t="s">
        <v>54</v>
      </c>
    </row>
    <row r="9" spans="1:5">
      <c r="B9" t="s">
        <v>83</v>
      </c>
      <c r="C9" s="6">
        <f>途中経過用!D12</f>
        <v>0</v>
      </c>
      <c r="D9" s="30">
        <f>D8*(1+途中経過用!D12)</f>
        <v>2000</v>
      </c>
      <c r="E9" t="s">
        <v>54</v>
      </c>
    </row>
    <row r="10" spans="1:5">
      <c r="D10" s="5"/>
    </row>
    <row r="11" spans="1:5">
      <c r="B11" t="s">
        <v>6</v>
      </c>
      <c r="D11" s="30">
        <f>D9*10</f>
        <v>20000</v>
      </c>
      <c r="E11" t="s">
        <v>54</v>
      </c>
    </row>
    <row r="12" spans="1:5">
      <c r="D12" s="5"/>
    </row>
    <row r="13" spans="1:5">
      <c r="A13" t="s">
        <v>7</v>
      </c>
      <c r="B13" t="s">
        <v>4</v>
      </c>
      <c r="D13" s="5">
        <f>ROUNDDOWN(途中経過用!D14*10000*0.02%,0)</f>
        <v>0</v>
      </c>
      <c r="E13" t="s">
        <v>54</v>
      </c>
    </row>
    <row r="14" spans="1:5">
      <c r="B14" t="s">
        <v>9</v>
      </c>
      <c r="D14" s="5">
        <f>10000+D13</f>
        <v>10000</v>
      </c>
      <c r="E14" t="s">
        <v>54</v>
      </c>
    </row>
    <row r="15" spans="1:5">
      <c r="B15" t="s">
        <v>83</v>
      </c>
      <c r="C15" s="6">
        <f>途中経過用!D17</f>
        <v>0</v>
      </c>
      <c r="D15" s="30">
        <f>D14*(1+途中経過用!D17)</f>
        <v>10000</v>
      </c>
      <c r="E15" t="s">
        <v>54</v>
      </c>
    </row>
    <row r="16" spans="1:5">
      <c r="D16" s="5"/>
    </row>
    <row r="17" spans="1:8">
      <c r="B17" t="s">
        <v>12</v>
      </c>
      <c r="D17" s="30">
        <f>D11+D15</f>
        <v>30000</v>
      </c>
      <c r="E17" t="s">
        <v>54</v>
      </c>
    </row>
    <row r="18" spans="1:8">
      <c r="D18" s="5"/>
    </row>
    <row r="19" spans="1:8">
      <c r="B19" t="s">
        <v>16</v>
      </c>
      <c r="C19" t="s">
        <v>13</v>
      </c>
      <c r="D19" s="5">
        <f>ROUNDDOWN(D17/10,0)</f>
        <v>3000</v>
      </c>
      <c r="E19" t="s">
        <v>54</v>
      </c>
    </row>
    <row r="20" spans="1:8">
      <c r="B20" t="s">
        <v>84</v>
      </c>
      <c r="C20" t="s">
        <v>13</v>
      </c>
      <c r="D20" s="5">
        <f>D8+D14/10</f>
        <v>3000</v>
      </c>
      <c r="E20" t="s">
        <v>54</v>
      </c>
    </row>
    <row r="21" spans="1:8">
      <c r="D21" s="5"/>
    </row>
    <row r="22" spans="1:8">
      <c r="B22" t="s">
        <v>39</v>
      </c>
      <c r="C22" s="9">
        <f>途中経過用!D19</f>
        <v>0</v>
      </c>
      <c r="D22" s="30">
        <f>D19*途中経過用!D19</f>
        <v>0</v>
      </c>
      <c r="E22" t="s">
        <v>54</v>
      </c>
    </row>
    <row r="23" spans="1:8">
      <c r="C23" s="9"/>
      <c r="D23" s="5"/>
    </row>
    <row r="24" spans="1:8">
      <c r="A24" t="s">
        <v>188</v>
      </c>
      <c r="C24" s="9"/>
      <c r="D24" s="30">
        <f>IFERROR(ROUNDUP(D5/D22,0),)</f>
        <v>0</v>
      </c>
      <c r="E24" t="s">
        <v>184</v>
      </c>
    </row>
    <row r="25" spans="1:8">
      <c r="D25" s="5"/>
    </row>
    <row r="26" spans="1:8">
      <c r="A26" t="s">
        <v>185</v>
      </c>
      <c r="D26" s="30">
        <f>途中経過用!D19*D24</f>
        <v>0</v>
      </c>
      <c r="E26" t="s">
        <v>19</v>
      </c>
    </row>
    <row r="27" spans="1:8">
      <c r="D27" s="5"/>
    </row>
    <row r="28" spans="1:8">
      <c r="A28" t="s">
        <v>52</v>
      </c>
      <c r="B28" t="s">
        <v>191</v>
      </c>
      <c r="D28" s="30">
        <f>途中経過用!D7+D26*10</f>
        <v>0</v>
      </c>
      <c r="E28" t="s">
        <v>53</v>
      </c>
    </row>
    <row r="29" spans="1:8">
      <c r="B29" t="s">
        <v>55</v>
      </c>
      <c r="C29">
        <v>2000</v>
      </c>
      <c r="D29" s="5">
        <f>IF(途中経過用!C31=2000,ROUNDDOWN(D28/2000,0),)</f>
        <v>0</v>
      </c>
      <c r="E29" t="s">
        <v>36</v>
      </c>
      <c r="F29" t="s">
        <v>56</v>
      </c>
      <c r="G29" s="5">
        <f>D28-(C29*D29)</f>
        <v>0</v>
      </c>
      <c r="H29" t="s">
        <v>53</v>
      </c>
    </row>
    <row r="30" spans="1:8">
      <c r="C30">
        <v>1000</v>
      </c>
      <c r="D30" s="5">
        <f>IF(OR(D29&gt;1,途中経過用!C31=1000),ROUNDDOWN(G29/1000,0),)</f>
        <v>0</v>
      </c>
      <c r="E30" t="s">
        <v>36</v>
      </c>
      <c r="G30" s="5">
        <f>G29-(C30*D30)</f>
        <v>0</v>
      </c>
      <c r="H30" t="s">
        <v>53</v>
      </c>
    </row>
    <row r="31" spans="1:8">
      <c r="C31">
        <v>500</v>
      </c>
      <c r="D31" s="5">
        <f>IF(OR(D29&gt;1,D30&gt;1,途中経過用!C31=500),ROUNDDOWN(G30/500,0),)</f>
        <v>0</v>
      </c>
      <c r="E31" t="s">
        <v>36</v>
      </c>
      <c r="G31" s="5">
        <f>G30-(C31*D31)</f>
        <v>0</v>
      </c>
      <c r="H31" t="s">
        <v>53</v>
      </c>
    </row>
    <row r="32" spans="1:8">
      <c r="C32">
        <v>100</v>
      </c>
      <c r="D32" s="5">
        <f>ROUNDDOWN(G31/100,0)</f>
        <v>0</v>
      </c>
      <c r="E32" t="s">
        <v>36</v>
      </c>
      <c r="G32" s="5">
        <f>G31-(C32*D32)</f>
        <v>0</v>
      </c>
      <c r="H32" t="s">
        <v>190</v>
      </c>
    </row>
    <row r="33" spans="3:5">
      <c r="C33" t="s">
        <v>46</v>
      </c>
      <c r="D33" s="30">
        <f>SUM(D29:D32)</f>
        <v>0</v>
      </c>
      <c r="E33" t="s">
        <v>36</v>
      </c>
    </row>
    <row r="34" spans="3:5">
      <c r="D34" s="5"/>
    </row>
    <row r="35" spans="3:5">
      <c r="D35" s="5"/>
    </row>
    <row r="36" spans="3:5">
      <c r="D36" s="5"/>
    </row>
    <row r="37" spans="3:5">
      <c r="D37" s="5"/>
    </row>
    <row r="38" spans="3:5">
      <c r="D38" s="5"/>
    </row>
    <row r="39" spans="3:5">
      <c r="D39" s="5"/>
    </row>
    <row r="40" spans="3:5">
      <c r="D40" s="5"/>
    </row>
    <row r="41" spans="3:5">
      <c r="D41" s="5"/>
    </row>
    <row r="42" spans="3:5">
      <c r="D42" s="5"/>
    </row>
  </sheetData>
  <phoneticPr fontId="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ワークシート</vt:lpstr>
      </vt:variant>
      <vt:variant>
        <vt:i4>9</vt:i4>
      </vt:variant>
      <vt:variant>
        <vt:lpstr>名前付き一覧</vt:lpstr>
      </vt:variant>
      <vt:variant>
        <vt:i4>2</vt:i4>
      </vt:variant>
    </vt:vector>
  </HeadingPairs>
  <TitlesOfParts>
    <vt:vector size="11" baseType="lpstr">
      <vt:lpstr>はじめにお読みください</vt:lpstr>
      <vt:lpstr>特効計算</vt:lpstr>
      <vt:lpstr>イベント開始時</vt:lpstr>
      <vt:lpstr>途中経過用</vt:lpstr>
      <vt:lpstr>イベント進捗</vt:lpstr>
      <vt:lpstr>【参考】特効倍率</vt:lpstr>
      <vt:lpstr>特効計算用</vt:lpstr>
      <vt:lpstr>箱イベ計算</vt:lpstr>
      <vt:lpstr>途中経過計算</vt:lpstr>
      <vt:lpstr>イベント進捗!Print_Area</vt:lpstr>
      <vt:lpstr>はじめにお読みください!Print_Area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あんスタイベントダイヤ数計算</dc:title>
  <dc:subject/>
  <dc:creator>まりんぬ</dc:creator>
  <cp:keywords/>
  <dc:description/>
  <cp:lastModifiedBy>麻里 滝山</cp:lastModifiedBy>
  <dcterms:created xsi:type="dcterms:W3CDTF">2021-08-19T03:43:20Z</dcterms:created>
  <dcterms:modified xsi:type="dcterms:W3CDTF">2025-02-19T07:06:33Z</dcterms:modified>
  <cp:category/>
</cp:coreProperties>
</file>